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mc:AlternateContent xmlns:mc="http://schemas.openxmlformats.org/markup-compatibility/2006">
    <mc:Choice Requires="x15">
      <x15ac:absPath xmlns:x15ac="http://schemas.microsoft.com/office/spreadsheetml/2010/11/ac" url="R:\G\PHKP\VQMS\_ALL\SAC\V6_GREMIEN\UAG Antragsunterlagen\12.-23.10.2026\vereinfachteAntr_bearb_Astrid\Endversion ab 19.10.2026\"/>
    </mc:Choice>
  </mc:AlternateContent>
  <xr:revisionPtr revIDLastSave="0" documentId="13_ncr:1_{4BB576C6-9188-4FE8-8C2B-0840D66A20A2}" xr6:coauthVersionLast="47" xr6:coauthVersionMax="47" xr10:uidLastSave="{00000000-0000-0000-0000-000000000000}"/>
  <workbookProtection workbookAlgorithmName="SHA-512" workbookHashValue="AfwQ49Z+nlk5TEVN8KcG1dQ0SJpUUUvi7jqZdLGeIMK0nV560uOdbZ5XgpDiKJnsYiqlg8ztuSD5QJ0BCPHU7w==" workbookSaltValue="KHKjA5vGodhqGsfYrNK29A==" workbookSpinCount="100000" lockStructure="1"/>
  <bookViews>
    <workbookView xWindow="-120" yWindow="-120" windowWidth="29040" windowHeight="15720" tabRatio="783" firstSheet="3" activeTab="3" xr2:uid="{00000000-000D-0000-FFFF-FFFF00000000}"/>
  </bookViews>
  <sheets>
    <sheet name="B_KZP_Versionsinfo" sheetId="10" state="hidden" r:id="rId1"/>
    <sheet name="Verknüpfungstabelle" sheetId="14" state="hidden" r:id="rId2"/>
    <sheet name="KAT" sheetId="9" state="hidden" r:id="rId3"/>
    <sheet name="B_KZP_Hinweise" sheetId="1" r:id="rId4"/>
    <sheet name="B_KZP_Allgemeine Angaben" sheetId="2" r:id="rId5"/>
    <sheet name="B_KZP_Kalkulation" sheetId="3" r:id="rId6"/>
    <sheet name="B_KZP_Berechnung rüE" sheetId="4" state="hidden" r:id="rId7"/>
    <sheet name="B_KZP_Bewohnervertretung" sheetId="6" r:id="rId8"/>
    <sheet name="B_KZP_Ergebnis" sheetId="13" r:id="rId9"/>
    <sheet name="B_KZP_Gesamtkalkulation" sheetId="15" r:id="rId10"/>
    <sheet name="Adressverzeichnis" sheetId="8" r:id="rId11"/>
  </sheets>
  <definedNames>
    <definedName name="_Hlk233720930" localSheetId="3">B_KZP_Hinweise!$A$29</definedName>
    <definedName name="_xlnm.Print_Area" localSheetId="10">Adressverzeichnis!$A$1:$I$62</definedName>
    <definedName name="_xlnm.Print_Area" localSheetId="4">'B_KZP_Allgemeine Angaben'!$A$1:$N$76</definedName>
    <definedName name="_xlnm.Print_Area" localSheetId="6">'B_KZP_Berechnung rüE'!$A$1:$L$43</definedName>
    <definedName name="_xlnm.Print_Area" localSheetId="7">B_KZP_Bewohnervertretung!$A$1:$N$64</definedName>
    <definedName name="_xlnm.Print_Area" localSheetId="8">B_KZP_Ergebnis!$A$1:$O$75</definedName>
    <definedName name="_xlnm.Print_Area" localSheetId="9">B_KZP_Gesamtkalkulation!$A$1:$P$49</definedName>
    <definedName name="_xlnm.Print_Area" localSheetId="3">B_KZP_Hinweise!$A$1:$G$53</definedName>
    <definedName name="_xlnm.Print_Area" localSheetId="5">B_KZP_Kalkulation!$A$1:$R$70</definedName>
    <definedName name="_xlnm.Print_Area" localSheetId="0">B_KZP_Versionsinfo!$A$1:$E$24</definedName>
    <definedName name="_xlnm.Print_Area" localSheetId="2">KAT!$A$1</definedName>
    <definedName name="_xlnm.Print_Titles" localSheetId="0">B_KZP_Versionsinfo!$5:$5</definedName>
    <definedName name="Z_9119B1A0_FD79_4FE4_B78E_10E0AEB8080B_.wvu.Cols" localSheetId="6" hidden="1">'B_KZP_Berechnung rüE'!$N:$S</definedName>
    <definedName name="Z_9119B1A0_FD79_4FE4_B78E_10E0AEB8080B_.wvu.Cols" localSheetId="5" hidden="1">B_KZP_Kalkulation!$T:$AF</definedName>
    <definedName name="Z_9119B1A0_FD79_4FE4_B78E_10E0AEB8080B_.wvu.PrintArea" localSheetId="10" hidden="1">Adressverzeichnis!$A$1:$I$62</definedName>
    <definedName name="Z_9119B1A0_FD79_4FE4_B78E_10E0AEB8080B_.wvu.PrintArea" localSheetId="4" hidden="1">'B_KZP_Allgemeine Angaben'!$A$1:$N$76</definedName>
    <definedName name="Z_9119B1A0_FD79_4FE4_B78E_10E0AEB8080B_.wvu.PrintArea" localSheetId="6" hidden="1">'B_KZP_Berechnung rüE'!$A$1:$L$43</definedName>
    <definedName name="Z_9119B1A0_FD79_4FE4_B78E_10E0AEB8080B_.wvu.PrintArea" localSheetId="7" hidden="1">B_KZP_Bewohnervertretung!$A$1:$N$64</definedName>
    <definedName name="Z_9119B1A0_FD79_4FE4_B78E_10E0AEB8080B_.wvu.PrintArea" localSheetId="8" hidden="1">B_KZP_Ergebnis!$A$1:$O$75</definedName>
    <definedName name="Z_9119B1A0_FD79_4FE4_B78E_10E0AEB8080B_.wvu.PrintArea" localSheetId="3" hidden="1">B_KZP_Hinweise!$A$1:$G$51</definedName>
    <definedName name="Z_9119B1A0_FD79_4FE4_B78E_10E0AEB8080B_.wvu.PrintArea" localSheetId="5" hidden="1">B_KZP_Kalkulation!$A$1:$R$70</definedName>
    <definedName name="Z_9119B1A0_FD79_4FE4_B78E_10E0AEB8080B_.wvu.Rows" localSheetId="10" hidden="1">Adressverzeichnis!$58:$58</definedName>
    <definedName name="Z_CDDBAA41_0D3E_44AF_A85A_332C81A5DAE4_.wvu.Cols" localSheetId="9" hidden="1">B_KZP_Gesamtkalkulation!$E:$G,B_KZP_Gesamtkalkulation!#REF!,B_KZP_Gesamtkalkulation!#REF!,B_KZP_Gesamtkalkulation!#REF!,B_KZP_Gesamtkalkulation!#REF!,B_KZP_Gesamtkalkulation!#REF!,B_KZP_Gesamtkalkulation!$N:$N,B_KZP_Gesamtkalkulation!$O:$O</definedName>
    <definedName name="Z_CDDBAA41_0D3E_44AF_A85A_332C81A5DAE4_.wvu.PrintArea" localSheetId="9" hidden="1">B_KZP_Gesamtkalkulation!$A$1:$P$49</definedName>
  </definedNames>
  <calcPr calcId="191029"/>
  <customWorkbookViews>
    <customWorkbookView name="Bischoff, Kathrin - Persönliche Ansicht" guid="{9119B1A0-FD79-4FE4-B78E-10E0AEB8080B}" mergeInterval="0" personalView="1" maximized="1" xWindow="-8" yWindow="-8" windowWidth="1552" windowHeight="840" tabRatio="783" activeSheetId="8"/>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S9" i="14" l="1"/>
  <c r="BT9" i="14"/>
  <c r="DW9" i="14"/>
  <c r="BA9" i="14" l="1"/>
  <c r="DY9" i="14" l="1"/>
  <c r="DX9" i="14"/>
  <c r="DV9" i="14"/>
  <c r="DU9" i="14"/>
  <c r="DT9" i="14"/>
  <c r="DR9" i="14"/>
  <c r="DQ9" i="14"/>
  <c r="DP9" i="14"/>
  <c r="DO9" i="14"/>
  <c r="DN9" i="14"/>
  <c r="CA9" i="14"/>
  <c r="BZ9" i="14"/>
  <c r="BY9" i="14"/>
  <c r="BX9" i="14"/>
  <c r="BJ9" i="14"/>
  <c r="BI9" i="14"/>
  <c r="BH9" i="14"/>
  <c r="BG9" i="14"/>
  <c r="BF9" i="14"/>
  <c r="BD9" i="14"/>
  <c r="BC9" i="14"/>
  <c r="BB9" i="14"/>
  <c r="AZ9" i="14"/>
  <c r="AY9" i="14"/>
  <c r="AW9" i="14"/>
  <c r="AV9" i="14"/>
  <c r="AT9" i="14"/>
  <c r="AS9" i="14"/>
  <c r="AR9" i="14"/>
  <c r="AQ9" i="14"/>
  <c r="AP9" i="14"/>
  <c r="AO9" i="14"/>
  <c r="AN9" i="14"/>
  <c r="AM9" i="14"/>
  <c r="AL9" i="14"/>
  <c r="AK9" i="14"/>
  <c r="AI9" i="14"/>
  <c r="AH9" i="14"/>
  <c r="AG9" i="14"/>
  <c r="AF9" i="14"/>
  <c r="AE9" i="14"/>
  <c r="AD9" i="14"/>
  <c r="AC9" i="14"/>
  <c r="AB9" i="14"/>
  <c r="AA9" i="14"/>
  <c r="Z9" i="14"/>
  <c r="Y9" i="14"/>
  <c r="X9" i="14"/>
  <c r="S9" i="14"/>
  <c r="N9" i="14"/>
  <c r="H9" i="14"/>
  <c r="G9" i="14"/>
  <c r="F9" i="14"/>
  <c r="D9" i="14"/>
  <c r="C9" i="14"/>
  <c r="B9" i="14"/>
  <c r="A9" i="14"/>
  <c r="J58" i="2" l="1"/>
  <c r="L29" i="9"/>
  <c r="K37" i="9"/>
  <c r="C40" i="15"/>
  <c r="C39" i="15"/>
  <c r="C35" i="15"/>
  <c r="C36" i="15"/>
  <c r="C37" i="15"/>
  <c r="C38" i="15"/>
  <c r="C34" i="15"/>
  <c r="C19" i="15"/>
  <c r="C17" i="15"/>
  <c r="C18" i="15"/>
  <c r="C16" i="15"/>
  <c r="C15" i="15"/>
  <c r="C14" i="15"/>
  <c r="C23" i="15"/>
  <c r="C24" i="15"/>
  <c r="C25" i="15"/>
  <c r="C26" i="15"/>
  <c r="C27" i="15"/>
  <c r="C28" i="15"/>
  <c r="C29" i="15"/>
  <c r="C30" i="15"/>
  <c r="C31" i="15"/>
  <c r="C22" i="15"/>
  <c r="A3" i="2" l="1"/>
  <c r="A3" i="15" s="1"/>
  <c r="I26" i="3"/>
  <c r="C68" i="9"/>
  <c r="C67" i="9"/>
  <c r="B68" i="9"/>
  <c r="B67" i="9"/>
  <c r="L26" i="3"/>
  <c r="C75" i="9"/>
  <c r="C76" i="9"/>
  <c r="C74" i="9"/>
  <c r="B75" i="9"/>
  <c r="B76" i="9"/>
  <c r="B74" i="9"/>
  <c r="E67" i="9" l="1"/>
  <c r="E74" i="9"/>
  <c r="I27" i="3" s="1"/>
  <c r="F67" i="9"/>
  <c r="D6" i="15"/>
  <c r="F74" i="9" l="1"/>
  <c r="L27" i="3" s="1"/>
  <c r="C37" i="4"/>
  <c r="A1" i="15"/>
  <c r="J6" i="15"/>
  <c r="I6" i="15"/>
  <c r="K6" i="15" l="1"/>
  <c r="I27" i="15" s="1"/>
  <c r="K8" i="15"/>
  <c r="L6" i="15"/>
  <c r="I23" i="15" l="1"/>
  <c r="L37" i="3"/>
  <c r="L38" i="3"/>
  <c r="L30" i="3"/>
  <c r="D19" i="15" s="1"/>
  <c r="C12" i="9"/>
  <c r="C13" i="9"/>
  <c r="C14" i="9"/>
  <c r="C15" i="9"/>
  <c r="C11" i="9"/>
  <c r="K22" i="3" s="1"/>
  <c r="I36" i="13"/>
  <c r="D26" i="15" l="1"/>
  <c r="M38" i="3"/>
  <c r="M19" i="15"/>
  <c r="I19" i="15" s="1"/>
  <c r="G19" i="15"/>
  <c r="D25" i="15"/>
  <c r="M37" i="3"/>
  <c r="E8" i="9"/>
  <c r="D8" i="3" s="1"/>
  <c r="M25" i="15" l="1"/>
  <c r="I25" i="15" s="1"/>
  <c r="G25" i="15"/>
  <c r="F46" i="13"/>
  <c r="E19" i="15"/>
  <c r="H19" i="15"/>
  <c r="M26" i="15"/>
  <c r="I26" i="15" s="1"/>
  <c r="F47" i="13"/>
  <c r="G26" i="15"/>
  <c r="J54" i="2"/>
  <c r="M51" i="2"/>
  <c r="M52" i="2"/>
  <c r="K46" i="2"/>
  <c r="K45" i="2"/>
  <c r="L52" i="3"/>
  <c r="I53" i="3"/>
  <c r="I52" i="3"/>
  <c r="I49" i="13"/>
  <c r="I48" i="13"/>
  <c r="M66" i="3"/>
  <c r="B10" i="3" l="1"/>
  <c r="D10" i="3"/>
  <c r="B9" i="3"/>
  <c r="E26" i="15"/>
  <c r="H26" i="15"/>
  <c r="D39" i="15"/>
  <c r="M52" i="3"/>
  <c r="E25" i="15"/>
  <c r="H25" i="15"/>
  <c r="B51" i="9"/>
  <c r="L48" i="13" l="1"/>
  <c r="G39" i="15"/>
  <c r="M39" i="15"/>
  <c r="I39" i="15" s="1"/>
  <c r="A4" i="2"/>
  <c r="H39" i="15" l="1"/>
  <c r="E39" i="15"/>
  <c r="P4" i="3"/>
  <c r="K5" i="4"/>
  <c r="K4" i="4"/>
  <c r="I32" i="13" l="1"/>
  <c r="F39" i="13"/>
  <c r="F28" i="13"/>
  <c r="N3" i="13" l="1"/>
  <c r="I11" i="13" l="1"/>
  <c r="F11" i="13"/>
  <c r="F8" i="13"/>
  <c r="F7" i="13"/>
  <c r="F6" i="13"/>
  <c r="C9" i="13"/>
  <c r="B9" i="13"/>
  <c r="B8" i="13"/>
  <c r="B7" i="13"/>
  <c r="B6" i="13"/>
  <c r="A1" i="13"/>
  <c r="J39" i="13" l="1"/>
  <c r="L39" i="13" s="1"/>
  <c r="L30" i="9" l="1"/>
  <c r="L31" i="9" l="1"/>
  <c r="L38" i="9"/>
  <c r="L37" i="9"/>
  <c r="L35" i="9"/>
  <c r="C4" i="4" l="1"/>
  <c r="C5" i="4"/>
  <c r="A3" i="6"/>
  <c r="C4" i="3"/>
  <c r="C5" i="3"/>
  <c r="K72" i="2" l="1"/>
  <c r="I18" i="3" l="1"/>
  <c r="J18" i="3"/>
  <c r="K18" i="3"/>
  <c r="L18" i="3"/>
  <c r="H18" i="3"/>
  <c r="F16" i="13" s="1"/>
  <c r="F18" i="13" l="1"/>
  <c r="F17" i="13"/>
  <c r="F20" i="13"/>
  <c r="F19" i="13"/>
  <c r="I4" i="4"/>
  <c r="I5" i="4"/>
  <c r="K30" i="3" l="1"/>
  <c r="E53" i="8" l="1"/>
  <c r="E27" i="8"/>
  <c r="E21" i="8"/>
  <c r="E16" i="8"/>
  <c r="E12" i="8"/>
  <c r="E39" i="8"/>
  <c r="E34" i="8"/>
  <c r="E7" i="8"/>
  <c r="C56" i="9" l="1"/>
  <c r="F21" i="4" l="1"/>
  <c r="F15" i="4"/>
  <c r="E18" i="4"/>
  <c r="E17" i="4"/>
  <c r="K70" i="2"/>
  <c r="L49" i="3" l="1"/>
  <c r="B29" i="9"/>
  <c r="B8" i="4"/>
  <c r="D36" i="15" l="1"/>
  <c r="M49" i="3"/>
  <c r="G36" i="15" l="1"/>
  <c r="H36" i="15" s="1"/>
  <c r="M36" i="15"/>
  <c r="L45" i="13"/>
  <c r="E24" i="4"/>
  <c r="E36" i="15" l="1"/>
  <c r="I36" i="15"/>
  <c r="D37" i="4"/>
  <c r="O15" i="4" s="1"/>
  <c r="L34" i="3" l="1"/>
  <c r="C32" i="9"/>
  <c r="D32" i="9"/>
  <c r="B32" i="9"/>
  <c r="C29" i="9"/>
  <c r="D22" i="15" l="1"/>
  <c r="M34" i="3"/>
  <c r="S43" i="4"/>
  <c r="N22" i="15" l="1"/>
  <c r="F43" i="13"/>
  <c r="E23" i="4"/>
  <c r="D33" i="4" s="1"/>
  <c r="E22" i="4"/>
  <c r="N20" i="4" s="1"/>
  <c r="J22" i="15" l="1"/>
  <c r="J21" i="15" s="1"/>
  <c r="J46" i="15" s="1"/>
  <c r="N21" i="15"/>
  <c r="E22" i="15"/>
  <c r="N18" i="4"/>
  <c r="B31" i="9"/>
  <c r="B30" i="9"/>
  <c r="F68" i="13" l="1"/>
  <c r="I64" i="3"/>
  <c r="N21" i="4"/>
  <c r="B52" i="9" l="1"/>
  <c r="B53" i="9" s="1"/>
  <c r="L48" i="3"/>
  <c r="L50" i="3"/>
  <c r="L51" i="3"/>
  <c r="L53" i="3"/>
  <c r="L47" i="3"/>
  <c r="L35" i="3"/>
  <c r="L36" i="3"/>
  <c r="L39" i="3"/>
  <c r="L40" i="3"/>
  <c r="L41" i="3"/>
  <c r="L42" i="3"/>
  <c r="L43" i="3"/>
  <c r="D34" i="4"/>
  <c r="E34" i="4"/>
  <c r="C34" i="4"/>
  <c r="D31" i="9"/>
  <c r="A1" i="4"/>
  <c r="A1" i="3"/>
  <c r="P5" i="3"/>
  <c r="F54" i="3"/>
  <c r="F14" i="3"/>
  <c r="D14" i="3"/>
  <c r="L14" i="3"/>
  <c r="F44" i="3"/>
  <c r="J14" i="3"/>
  <c r="L16" i="3"/>
  <c r="L7" i="3"/>
  <c r="F16" i="3"/>
  <c r="K27" i="3"/>
  <c r="E26" i="3"/>
  <c r="E27" i="3"/>
  <c r="E28" i="3"/>
  <c r="E29" i="3"/>
  <c r="E30" i="3"/>
  <c r="J26" i="3" l="1"/>
  <c r="J27" i="3"/>
  <c r="F36" i="13" s="1"/>
  <c r="D26" i="3"/>
  <c r="D27" i="3"/>
  <c r="D28" i="3"/>
  <c r="D29" i="3"/>
  <c r="D25" i="3"/>
  <c r="D24" i="3"/>
  <c r="I22" i="3"/>
  <c r="I28" i="13" s="1"/>
  <c r="J25" i="3"/>
  <c r="D23" i="3"/>
  <c r="D23" i="15"/>
  <c r="M35" i="3"/>
  <c r="D34" i="15"/>
  <c r="M47" i="3"/>
  <c r="D37" i="15"/>
  <c r="M50" i="3"/>
  <c r="D31" i="15"/>
  <c r="M43" i="3"/>
  <c r="D40" i="15"/>
  <c r="M53" i="3"/>
  <c r="D30" i="15"/>
  <c r="M42" i="3"/>
  <c r="D38" i="15"/>
  <c r="M51" i="3"/>
  <c r="D27" i="15"/>
  <c r="M39" i="3"/>
  <c r="D29" i="15"/>
  <c r="M41" i="3"/>
  <c r="D28" i="15"/>
  <c r="M40" i="3"/>
  <c r="D35" i="15"/>
  <c r="M48" i="3"/>
  <c r="D24" i="15"/>
  <c r="M36" i="3"/>
  <c r="I34" i="13"/>
  <c r="B19" i="3"/>
  <c r="F22" i="13"/>
  <c r="L32" i="9"/>
  <c r="A4" i="6"/>
  <c r="D29" i="9"/>
  <c r="L44" i="3"/>
  <c r="B56" i="9"/>
  <c r="L54" i="3"/>
  <c r="J23" i="3" l="1"/>
  <c r="I23" i="3" s="1"/>
  <c r="I30" i="13" s="1"/>
  <c r="D17" i="15"/>
  <c r="F34" i="13"/>
  <c r="F52" i="13"/>
  <c r="G31" i="15"/>
  <c r="M31" i="15"/>
  <c r="I31" i="15" s="1"/>
  <c r="M24" i="15"/>
  <c r="I24" i="15" s="1"/>
  <c r="F45" i="13"/>
  <c r="G24" i="15"/>
  <c r="G37" i="15"/>
  <c r="L46" i="13"/>
  <c r="M37" i="15"/>
  <c r="I37" i="15" s="1"/>
  <c r="F49" i="13"/>
  <c r="M28" i="15"/>
  <c r="I28" i="15" s="1"/>
  <c r="G28" i="15"/>
  <c r="F51" i="13"/>
  <c r="G30" i="15"/>
  <c r="M30" i="15"/>
  <c r="L43" i="13"/>
  <c r="D33" i="15"/>
  <c r="L54" i="13" s="1"/>
  <c r="G34" i="15"/>
  <c r="M34" i="15"/>
  <c r="M44" i="3"/>
  <c r="F48" i="13"/>
  <c r="G27" i="15"/>
  <c r="M35" i="15"/>
  <c r="I35" i="15" s="1"/>
  <c r="L44" i="13"/>
  <c r="G35" i="15"/>
  <c r="G38" i="15"/>
  <c r="L47" i="13"/>
  <c r="M38" i="15"/>
  <c r="I38" i="15" s="1"/>
  <c r="F50" i="13"/>
  <c r="M29" i="15"/>
  <c r="I29" i="15" s="1"/>
  <c r="G29" i="15"/>
  <c r="M40" i="15"/>
  <c r="I40" i="15" s="1"/>
  <c r="G40" i="15"/>
  <c r="L49" i="13"/>
  <c r="G23" i="15"/>
  <c r="F44" i="13"/>
  <c r="D21" i="15"/>
  <c r="F54" i="13" s="1"/>
  <c r="C25" i="4"/>
  <c r="C24" i="4" s="1"/>
  <c r="F32" i="13"/>
  <c r="O18" i="4"/>
  <c r="F16" i="4"/>
  <c r="G16" i="4" s="1"/>
  <c r="H16" i="4" s="1"/>
  <c r="I16" i="4" s="1"/>
  <c r="J16" i="4" s="1"/>
  <c r="F17" i="4"/>
  <c r="G17" i="4" s="1"/>
  <c r="H17" i="4" s="1"/>
  <c r="I17" i="4" s="1"/>
  <c r="J17" i="4" s="1"/>
  <c r="F18" i="4"/>
  <c r="G18" i="4" s="1"/>
  <c r="O20" i="4"/>
  <c r="F30" i="13" l="1"/>
  <c r="E37" i="4"/>
  <c r="P15" i="4" s="1"/>
  <c r="M17" i="15"/>
  <c r="I17" i="15" s="1"/>
  <c r="G17" i="15"/>
  <c r="E29" i="15"/>
  <c r="H29" i="15"/>
  <c r="M21" i="15"/>
  <c r="I30" i="15"/>
  <c r="I21" i="15" s="1"/>
  <c r="E37" i="15"/>
  <c r="H37" i="15"/>
  <c r="E27" i="15"/>
  <c r="H27" i="15"/>
  <c r="H30" i="15"/>
  <c r="E30" i="15"/>
  <c r="E24" i="15"/>
  <c r="H24" i="15"/>
  <c r="E28" i="15"/>
  <c r="H28" i="15"/>
  <c r="E23" i="15"/>
  <c r="H23" i="15"/>
  <c r="G21" i="15"/>
  <c r="I34" i="15"/>
  <c r="I33" i="15" s="1"/>
  <c r="M33" i="15"/>
  <c r="E38" i="15"/>
  <c r="H38" i="15"/>
  <c r="E34" i="15"/>
  <c r="G33" i="15"/>
  <c r="H34" i="15"/>
  <c r="H31" i="15"/>
  <c r="E31" i="15"/>
  <c r="H40" i="15"/>
  <c r="E40" i="15"/>
  <c r="H35" i="15"/>
  <c r="E35" i="15"/>
  <c r="N15" i="4"/>
  <c r="N22" i="4" s="1"/>
  <c r="C43" i="4" s="1"/>
  <c r="C33" i="4"/>
  <c r="C35" i="4" s="1"/>
  <c r="N43" i="4" s="1"/>
  <c r="P20" i="4"/>
  <c r="M54" i="3"/>
  <c r="E25" i="4"/>
  <c r="F25" i="4" s="1"/>
  <c r="G25" i="4" s="1"/>
  <c r="H18" i="4"/>
  <c r="I18" i="4" s="1"/>
  <c r="J18" i="4" s="1"/>
  <c r="O21" i="4"/>
  <c r="O22" i="4" s="1"/>
  <c r="D43" i="4" s="1"/>
  <c r="D35" i="4"/>
  <c r="P18" i="4" l="1"/>
  <c r="P21" i="4" s="1"/>
  <c r="P22" i="4" s="1"/>
  <c r="E43" i="4" s="1"/>
  <c r="E19" i="4"/>
  <c r="F19" i="4" s="1"/>
  <c r="G19" i="4" s="1"/>
  <c r="H19" i="4" s="1"/>
  <c r="I19" i="4" s="1"/>
  <c r="J19" i="4" s="1"/>
  <c r="L23" i="3" s="1"/>
  <c r="L22" i="3" s="1"/>
  <c r="D14" i="15" s="1"/>
  <c r="G14" i="15" s="1"/>
  <c r="E14" i="15" s="1"/>
  <c r="E33" i="4"/>
  <c r="E35" i="4" s="1"/>
  <c r="P43" i="4" s="1"/>
  <c r="H33" i="15"/>
  <c r="E17" i="15"/>
  <c r="H17" i="15"/>
  <c r="E33" i="15"/>
  <c r="H21" i="15"/>
  <c r="E21" i="15"/>
  <c r="R43" i="4"/>
  <c r="O43" i="4"/>
  <c r="H25" i="4"/>
  <c r="I25" i="4" s="1"/>
  <c r="J25" i="4" s="1"/>
  <c r="L25" i="3" s="1"/>
  <c r="V43" i="4"/>
  <c r="U43" i="4"/>
  <c r="J30" i="13" l="1"/>
  <c r="L30" i="13" s="1"/>
  <c r="H14" i="15"/>
  <c r="J28" i="13"/>
  <c r="L28" i="13" s="1"/>
  <c r="D15" i="15"/>
  <c r="G15" i="15" s="1"/>
  <c r="E15" i="15" s="1"/>
  <c r="J32" i="13"/>
  <c r="L32" i="13" s="1"/>
  <c r="D16" i="15"/>
  <c r="C38" i="4"/>
  <c r="T43" i="4"/>
  <c r="W43" i="4"/>
  <c r="H15" i="15" l="1"/>
  <c r="O16" i="15"/>
  <c r="K16" i="15"/>
  <c r="K13" i="15" s="1"/>
  <c r="K46" i="15" s="1"/>
  <c r="E39" i="4"/>
  <c r="D39" i="4"/>
  <c r="C39" i="4"/>
  <c r="F62" i="13" l="1"/>
  <c r="J64" i="3"/>
  <c r="E16" i="15"/>
  <c r="O13" i="15"/>
  <c r="C41" i="4"/>
  <c r="F41" i="4" s="1"/>
  <c r="Q43" i="4" l="1"/>
  <c r="C33" i="9" l="1"/>
  <c r="C37" i="9" s="1"/>
  <c r="C54" i="9" s="1"/>
  <c r="C38" i="9" l="1"/>
  <c r="D30" i="9"/>
  <c r="B54" i="9" l="1"/>
  <c r="J34" i="13"/>
  <c r="L34" i="13" s="1"/>
  <c r="B55" i="9" l="1"/>
  <c r="B57" i="9"/>
  <c r="B58" i="9" s="1"/>
  <c r="B59" i="9" s="1"/>
  <c r="B60" i="9" s="1"/>
  <c r="C60" i="9" s="1"/>
  <c r="E60" i="9" s="1"/>
  <c r="J36" i="13" l="1"/>
  <c r="L36" i="13" s="1"/>
  <c r="D18" i="15"/>
  <c r="M18" i="15" l="1"/>
  <c r="G18" i="15"/>
  <c r="D13" i="15"/>
  <c r="H18" i="15" l="1"/>
  <c r="H13" i="15" s="1"/>
  <c r="H46" i="15" s="1"/>
  <c r="E18" i="15"/>
  <c r="G13" i="15"/>
  <c r="I18" i="15"/>
  <c r="I13" i="15" s="1"/>
  <c r="I46" i="15" s="1"/>
  <c r="M13" i="15"/>
  <c r="F66" i="13" l="1"/>
  <c r="H64" i="3"/>
  <c r="F60" i="13"/>
  <c r="H60" i="3"/>
  <c r="E13"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Dietrich, Astrid</author>
  </authors>
  <commentList>
    <comment ref="BY8" authorId="0" shapeId="0" xr:uid="{CFDA3476-3BF7-4142-8DA5-425F206BF133}">
      <text>
        <r>
          <rPr>
            <b/>
            <sz val="9"/>
            <color indexed="81"/>
            <rFont val="Segoe UI"/>
            <family val="2"/>
          </rPr>
          <t>Dietrich, Astrid:</t>
        </r>
        <r>
          <rPr>
            <sz val="9"/>
            <color indexed="81"/>
            <rFont val="Segoe UI"/>
            <family val="2"/>
          </rPr>
          <t xml:space="preserve">
ja/nein Auswahlfeld
unmitttelbar = direkte Tarifbindung// mittelbar = keine direkte Tarifbindung, LE wendet Tarif maßgeblich an oder regional übliches Entgelt</t>
        </r>
      </text>
    </comment>
    <comment ref="CI8" authorId="0" shapeId="0" xr:uid="{2F4B9F44-3334-4894-BDAE-3D7910714863}">
      <text>
        <r>
          <rPr>
            <b/>
            <sz val="9"/>
            <color indexed="81"/>
            <rFont val="Segoe UI"/>
            <family val="2"/>
          </rPr>
          <t xml:space="preserve">inkl. aller Nebenkosten und Zulagen, wie </t>
        </r>
        <r>
          <rPr>
            <sz val="9"/>
            <color indexed="81"/>
            <rFont val="Segoe UI"/>
            <family val="2"/>
          </rPr>
          <t xml:space="preserve">
Besitzstand
sv-pflichtige und 
sv-freie Zuschläge
...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Bischoff, Kathrin</author>
  </authors>
  <commentList>
    <comment ref="B51" authorId="0" shapeId="0" xr:uid="{00000000-0006-0000-0100-000005000000}">
      <text>
        <r>
          <rPr>
            <b/>
            <sz val="9"/>
            <color indexed="81"/>
            <rFont val="Segoe UI"/>
            <family val="2"/>
          </rPr>
          <t>Bischoff, Kathrin:</t>
        </r>
        <r>
          <rPr>
            <sz val="9"/>
            <color indexed="81"/>
            <rFont val="Segoe UI"/>
            <family val="2"/>
          </rPr>
          <t xml:space="preserve">
Mindestlohn bis 30.09.2022 = 10,45 €/h, ab 01.10.2022 = 12 €/h = pauschaler Ansatzb= 12,00 €/h UAG 30.05.2022</t>
        </r>
      </text>
    </comment>
    <comment ref="C54" authorId="0" shapeId="0" xr:uid="{00000000-0006-0000-0100-000006000000}">
      <text>
        <r>
          <rPr>
            <b/>
            <sz val="9"/>
            <color indexed="81"/>
            <rFont val="Segoe UI"/>
            <family val="2"/>
          </rPr>
          <t>Bischoff, Kathrin:</t>
        </r>
        <r>
          <rPr>
            <sz val="9"/>
            <color indexed="81"/>
            <rFont val="Segoe UI"/>
            <family val="2"/>
          </rPr>
          <t xml:space="preserve">
Bezug zu TAB Berechnung</t>
        </r>
      </text>
    </comment>
    <comment ref="C56" authorId="0" shapeId="0" xr:uid="{00000000-0006-0000-0100-000007000000}">
      <text>
        <r>
          <rPr>
            <b/>
            <sz val="9"/>
            <color indexed="81"/>
            <rFont val="Segoe UI"/>
            <family val="2"/>
          </rPr>
          <t>Bischoff, Kathrin:</t>
        </r>
        <r>
          <rPr>
            <sz val="9"/>
            <color indexed="81"/>
            <rFont val="Segoe UI"/>
            <family val="2"/>
          </rPr>
          <t xml:space="preserve">
Bezug zu E94/F94</t>
        </r>
      </text>
    </comment>
  </commentList>
</comments>
</file>

<file path=xl/sharedStrings.xml><?xml version="1.0" encoding="utf-8"?>
<sst xmlns="http://schemas.openxmlformats.org/spreadsheetml/2006/main" count="944" uniqueCount="732">
  <si>
    <t>Allgemeine Angaben</t>
  </si>
  <si>
    <t>Art der Einrichtung:</t>
  </si>
  <si>
    <t>Institutionskennzeichen:</t>
  </si>
  <si>
    <t>Allgemeine Angaben zur Pflegeeinrichtung und zum Träger</t>
  </si>
  <si>
    <t>Name der Einrichtung</t>
  </si>
  <si>
    <t>Straße</t>
  </si>
  <si>
    <t>Telefon</t>
  </si>
  <si>
    <t>Fax</t>
  </si>
  <si>
    <t>E-Mail</t>
  </si>
  <si>
    <t>PDL</t>
  </si>
  <si>
    <t>In Trägerschaft von:</t>
  </si>
  <si>
    <t>Name des Trägers</t>
  </si>
  <si>
    <t>Zugehörigkeit zu einer Vereinigung von Trägern von stationären Pflegeeinrichtungen im Land</t>
  </si>
  <si>
    <t>Wenn ja, welche?</t>
  </si>
  <si>
    <t>Hiermit erteilen wir o.g. Vereinigung Verhandlungsmandat</t>
  </si>
  <si>
    <t>Platzzahl der Pflegeeinrichtung entsprechend des Versorgungsvertrages:</t>
  </si>
  <si>
    <t>Pflegeeinrichtungskonzeption Stand:</t>
  </si>
  <si>
    <t>von</t>
  </si>
  <si>
    <t>bis</t>
  </si>
  <si>
    <t>AOK PLUS</t>
  </si>
  <si>
    <t>vdek</t>
  </si>
  <si>
    <t>BKK</t>
  </si>
  <si>
    <t>IKK</t>
  </si>
  <si>
    <t>Knappschaft</t>
  </si>
  <si>
    <t>PKV</t>
  </si>
  <si>
    <t>Sonstige Sozialversicherungsträger</t>
  </si>
  <si>
    <t>jährliche Öffnungstage:</t>
  </si>
  <si>
    <t>2.</t>
  </si>
  <si>
    <t>Küche</t>
  </si>
  <si>
    <t>Haustechnik</t>
  </si>
  <si>
    <t>Wäscherei</t>
  </si>
  <si>
    <t>Reinigung</t>
  </si>
  <si>
    <t>2.1</t>
  </si>
  <si>
    <t>Lebensmittel</t>
  </si>
  <si>
    <t>2.2</t>
  </si>
  <si>
    <t>2.3</t>
  </si>
  <si>
    <t>2.6</t>
  </si>
  <si>
    <t>Betreuungsaufwand</t>
  </si>
  <si>
    <t>2.7</t>
  </si>
  <si>
    <t>Wirtschaftsbedarf</t>
  </si>
  <si>
    <t>2.8</t>
  </si>
  <si>
    <t>Steuern/Abgaben/Versicherungen</t>
  </si>
  <si>
    <t>2.9</t>
  </si>
  <si>
    <t>Wartung (keine Instandhaltung)</t>
  </si>
  <si>
    <t>2.10</t>
  </si>
  <si>
    <t>sonstige Aufwendungen</t>
  </si>
  <si>
    <t>Pflegegrad 1</t>
  </si>
  <si>
    <t>Pflegegrad 2</t>
  </si>
  <si>
    <t>Pflegegrad 3</t>
  </si>
  <si>
    <t>Pflegegrad 4</t>
  </si>
  <si>
    <t>Pflegegrad 5</t>
  </si>
  <si>
    <t>Hauswirtschaft</t>
  </si>
  <si>
    <t>Pflegegrad 1:</t>
  </si>
  <si>
    <t>Pflegegrad 2:</t>
  </si>
  <si>
    <t>Pflegegrad 3:</t>
  </si>
  <si>
    <t>Pflegegrad 4:</t>
  </si>
  <si>
    <t>Pflegegrad 5:</t>
  </si>
  <si>
    <t>Ort, Datum</t>
  </si>
  <si>
    <t>Gesamtkalkulation</t>
  </si>
  <si>
    <t>GELBER TEIL</t>
  </si>
  <si>
    <t>Gesamtplätze:</t>
  </si>
  <si>
    <t>WIRD AUS-</t>
  </si>
  <si>
    <t>Tage/Monat</t>
  </si>
  <si>
    <t>GEBLENDET</t>
  </si>
  <si>
    <t>Aufwendungen für die Unterkunft</t>
  </si>
  <si>
    <t>Aufwendungen für die Verpflegung</t>
  </si>
  <si>
    <t>Gesamtaufwendungen</t>
  </si>
  <si>
    <t>Plausi Ges.</t>
  </si>
  <si>
    <t>Gesamt in €</t>
  </si>
  <si>
    <t xml:space="preserve">1. </t>
  </si>
  <si>
    <t>1.3.</t>
  </si>
  <si>
    <t>1.4.</t>
  </si>
  <si>
    <t>1.5.</t>
  </si>
  <si>
    <t>1.6.</t>
  </si>
  <si>
    <t>Sachaufwendungen</t>
  </si>
  <si>
    <t xml:space="preserve">3. </t>
  </si>
  <si>
    <t>Fremdleistungen / Trägerleistungen</t>
  </si>
  <si>
    <t>Stellungnahme der Bewohnervertretung gem. § 85 (3) SGB XI</t>
  </si>
  <si>
    <t>Bewohnervertretung</t>
  </si>
  <si>
    <t>a)</t>
  </si>
  <si>
    <t xml:space="preserve">Schriftliche Stellungnahme liegt vor </t>
  </si>
  <si>
    <t>Ja</t>
  </si>
  <si>
    <t>weitere Angaben unter c) oder als Anlage erforderlich</t>
  </si>
  <si>
    <t>Nein</t>
  </si>
  <si>
    <t>weitere Angaben unter b) erforderlich</t>
  </si>
  <si>
    <t>b)</t>
  </si>
  <si>
    <t>Begründung für Nichtvorlage der schriftlichen Stellungnahme</t>
  </si>
  <si>
    <t xml:space="preserve">Gelegenheit zur Stellungnahme wurde eingeräumt, </t>
  </si>
  <si>
    <t>c)</t>
  </si>
  <si>
    <t>Unterschrift des Vorsitzenden der Bewohnervertretung</t>
  </si>
  <si>
    <t>Einrichtungsart</t>
  </si>
  <si>
    <t>Kreuz</t>
  </si>
  <si>
    <t>Öffnungstage</t>
  </si>
  <si>
    <t>Auslastung</t>
  </si>
  <si>
    <t>Ja/Nein</t>
  </si>
  <si>
    <t>x</t>
  </si>
  <si>
    <t>ja</t>
  </si>
  <si>
    <t>nein</t>
  </si>
  <si>
    <t>Pflegeeinrichtung:</t>
  </si>
  <si>
    <t>Einrichtungsleitung</t>
  </si>
  <si>
    <t>Web-Adresse</t>
  </si>
  <si>
    <t>bis:</t>
  </si>
  <si>
    <t>ANT am PS</t>
  </si>
  <si>
    <t>§ 43b:</t>
  </si>
  <si>
    <t>Der vorliegende Antrag auf Abschluss einer neuen Pflegesatzvereinbarung, die zu einer Erhöhung der</t>
  </si>
  <si>
    <t>ausführlich dargestellt und auf die Möglichkeit an der Pflegesatzverhandlung teilzunehmen hingewiesen.</t>
  </si>
  <si>
    <r>
      <t xml:space="preserve">Aufwendungen für die 
</t>
    </r>
    <r>
      <rPr>
        <b/>
        <sz val="10"/>
        <color theme="1"/>
        <rFont val="Arial"/>
        <family val="2"/>
      </rPr>
      <t>Unterkunft</t>
    </r>
  </si>
  <si>
    <r>
      <t xml:space="preserve">Aufwendungen für die 
</t>
    </r>
    <r>
      <rPr>
        <b/>
        <sz val="10"/>
        <color theme="1"/>
        <rFont val="Arial"/>
        <family val="2"/>
      </rPr>
      <t>Verpflegung</t>
    </r>
  </si>
  <si>
    <t xml:space="preserve">davon Träger der Sozialhilfe in %   </t>
  </si>
  <si>
    <t xml:space="preserve">Parteien der Pflegesatzvereinbarung (gem. § 85 Abs. 2 SGB XI) </t>
  </si>
  <si>
    <t>Anteil in %</t>
  </si>
  <si>
    <t>* Im Sinne der besseren Lesbarkeit wurde stellvertretend für beide Geschlechtsformen durchgehend nur die männliche Form verwendet.</t>
  </si>
  <si>
    <t>(schriftliche Mitteilung des Trägers der Einrichtung an die zuständige Behörde beifügen)</t>
  </si>
  <si>
    <t xml:space="preserve">Adressverzeichnis der Parteien der Pflegesatzvereinbarung
gem. § 85 Abs. 2 SGB XI sowie von Vergütungen nach § 75 SGB XII
</t>
  </si>
  <si>
    <t>AOK PLUS - Die Gesundheitskasse für Sachsen und Thüringen</t>
  </si>
  <si>
    <t>Müllerstraße 41</t>
  </si>
  <si>
    <t>09113 Chemnitz</t>
  </si>
  <si>
    <t>IKK classic</t>
  </si>
  <si>
    <t>Postfach 10 02 51</t>
  </si>
  <si>
    <t>01072 Dresden</t>
  </si>
  <si>
    <t xml:space="preserve">Knappschaft </t>
  </si>
  <si>
    <t>Regionaldirektion Chemnitz</t>
  </si>
  <si>
    <t>Jagdschänkenstraße 50</t>
  </si>
  <si>
    <t>09117 Chemnitz</t>
  </si>
  <si>
    <t>Kommunaler Sozialverband Sachsen</t>
  </si>
  <si>
    <t>Arbeitsgemeinschaft Betriebskrankenkassen</t>
  </si>
  <si>
    <t>BKK-Landesverband Mitte</t>
  </si>
  <si>
    <t>Landesrepräsentanz Sachsen</t>
  </si>
  <si>
    <t>Dr.-Külz-Ring 12</t>
  </si>
  <si>
    <t>01219 Dresden</t>
  </si>
  <si>
    <t>Arbeitsgemeinschaft Ersatzkassen</t>
  </si>
  <si>
    <t>vdek - Landesvertretung Sachsen</t>
  </si>
  <si>
    <t>Glacisstr. 4</t>
  </si>
  <si>
    <t>01099 Dresden</t>
  </si>
  <si>
    <t>DAK-Gesundheit</t>
  </si>
  <si>
    <t>Kaufmännische Krankenkasse - KKH</t>
  </si>
  <si>
    <t>Verband der Privaten Kranken-</t>
  </si>
  <si>
    <t>versicherung e.V.</t>
  </si>
  <si>
    <t>Barmer</t>
  </si>
  <si>
    <t>Handelskrankenkasse (hkk)</t>
  </si>
  <si>
    <t>HEK - Hanseatische Krankenkasse</t>
  </si>
  <si>
    <t>Ansprechpartner/ Funktion</t>
  </si>
  <si>
    <t>Humboldtstraße 18</t>
  </si>
  <si>
    <t>04105 Leipzig</t>
  </si>
  <si>
    <t>vereinbarungen-pflege@ksv-sachsen.de</t>
  </si>
  <si>
    <t>Nachrichtliche Angaben zum Zeitpunkt der Antragstellung und nicht Gegenstand dieses Antrages</t>
  </si>
  <si>
    <t>vom:</t>
  </si>
  <si>
    <t>Personalkosten:</t>
  </si>
  <si>
    <t>zusätzliche Betreuung und Aktivierung nach       § 43 b SGB XI:</t>
  </si>
  <si>
    <t>gesamt:</t>
  </si>
  <si>
    <t>Stellen</t>
  </si>
  <si>
    <t>Personalausstattung:</t>
  </si>
  <si>
    <t>Freiwillige Dienste/FSJ Einsatz:</t>
  </si>
  <si>
    <t>pflegerischer Sachbedarf</t>
  </si>
  <si>
    <t>Gesamtsumme:</t>
  </si>
  <si>
    <t>2.1.</t>
  </si>
  <si>
    <t>2.2.</t>
  </si>
  <si>
    <t>2.3.</t>
  </si>
  <si>
    <t>2.4.</t>
  </si>
  <si>
    <t>2.5.</t>
  </si>
  <si>
    <t>2.6.</t>
  </si>
  <si>
    <t>2.7.</t>
  </si>
  <si>
    <t>2.8.</t>
  </si>
  <si>
    <t>Fremdleistungen/ Leistungen des Trägers</t>
  </si>
  <si>
    <t>3.1.</t>
  </si>
  <si>
    <t>3.2.</t>
  </si>
  <si>
    <t>3.3.</t>
  </si>
  <si>
    <t>3.4.</t>
  </si>
  <si>
    <t>3.5.</t>
  </si>
  <si>
    <t>3.6.</t>
  </si>
  <si>
    <t>Unterkunft</t>
  </si>
  <si>
    <t>Vergütungszuschlag für:</t>
  </si>
  <si>
    <t>Datum</t>
  </si>
  <si>
    <t>Laufzeit:</t>
  </si>
  <si>
    <t>VK</t>
  </si>
  <si>
    <t>PDL/stellv. PDL</t>
  </si>
  <si>
    <t>Kalkulation</t>
  </si>
  <si>
    <t>Antrag vom:</t>
  </si>
  <si>
    <t>Funktionsbereich</t>
  </si>
  <si>
    <t>regional übliches Entgeltniveau</t>
  </si>
  <si>
    <t>gesteigert bis max. 10%</t>
  </si>
  <si>
    <t>inkl. variable pflegetypische Zuschläge</t>
  </si>
  <si>
    <t>zusätzliche Betreuung</t>
  </si>
  <si>
    <t>Einrichtung:</t>
  </si>
  <si>
    <t>PLZ Ort:</t>
  </si>
  <si>
    <r>
      <t>Pflege-/Betreuungs</t>
    </r>
    <r>
      <rPr>
        <sz val="11"/>
        <color theme="1"/>
        <rFont val="Arial"/>
        <family val="2"/>
      </rPr>
      <t xml:space="preserve">fachkraft, </t>
    </r>
    <r>
      <rPr>
        <sz val="9"/>
        <color theme="1"/>
        <rFont val="Arial"/>
        <family val="2"/>
      </rPr>
      <t>mind.3 Jahre Berufsausbildung</t>
    </r>
  </si>
  <si>
    <r>
      <t>Pflege-/Betreuungs</t>
    </r>
    <r>
      <rPr>
        <sz val="11"/>
        <color theme="1"/>
        <rFont val="Arial"/>
        <family val="2"/>
      </rPr>
      <t xml:space="preserve">hilfskraft, </t>
    </r>
    <r>
      <rPr>
        <sz val="9"/>
        <color theme="1"/>
        <rFont val="Arial"/>
        <family val="2"/>
      </rPr>
      <t>mind. 1 Jahr Berufsausbildung</t>
    </r>
  </si>
  <si>
    <r>
      <t>Pflege-/Betreuungs</t>
    </r>
    <r>
      <rPr>
        <sz val="11"/>
        <color theme="1"/>
        <rFont val="Arial"/>
        <family val="2"/>
      </rPr>
      <t xml:space="preserve">hilfskraft, </t>
    </r>
    <r>
      <rPr>
        <sz val="9"/>
        <color theme="1"/>
        <rFont val="Arial"/>
        <family val="2"/>
      </rPr>
      <t>ohne mind. 1 Jahr Berufsausbildung</t>
    </r>
  </si>
  <si>
    <t>Trägerdaten</t>
  </si>
  <si>
    <t xml:space="preserve">bis: </t>
  </si>
  <si>
    <t>sv-freie Zuschläge</t>
  </si>
  <si>
    <t>zusätzliche Betreung § 43 b SGB XI</t>
  </si>
  <si>
    <t xml:space="preserve"> inkl. SV-Beiträge</t>
  </si>
  <si>
    <t>inkl. PNK</t>
  </si>
  <si>
    <t>Pflegeeinrichtung</t>
  </si>
  <si>
    <t>Personalaufwendungen</t>
  </si>
  <si>
    <t>Berechnung</t>
  </si>
  <si>
    <t xml:space="preserve">Träger der Einrichtung </t>
  </si>
  <si>
    <t>Die Richtigkeit der o.g. Angaben wird bestätigt:</t>
  </si>
  <si>
    <t>Institutionskennzeichen (IK):</t>
  </si>
  <si>
    <t xml:space="preserve"> inkl. Zuschlag nach § 32 RV</t>
  </si>
  <si>
    <t>Gesamt § 43 b SGB XI:</t>
  </si>
  <si>
    <t>SV-Beiträge</t>
  </si>
  <si>
    <t xml:space="preserve"> (in%)</t>
  </si>
  <si>
    <t>Gesamt</t>
  </si>
  <si>
    <t>AG</t>
  </si>
  <si>
    <t>AN</t>
  </si>
  <si>
    <t>KV</t>
  </si>
  <si>
    <t>RV</t>
  </si>
  <si>
    <t>AV</t>
  </si>
  <si>
    <t>PV* mit Kd.</t>
  </si>
  <si>
    <t>Gesamt *</t>
  </si>
  <si>
    <t>U2</t>
  </si>
  <si>
    <t>100% Erstatt.</t>
  </si>
  <si>
    <t>Gesamt *+U2+Insolvenzgeld</t>
  </si>
  <si>
    <t xml:space="preserve">U1 </t>
  </si>
  <si>
    <t>50% Erstatt.</t>
  </si>
  <si>
    <t>Insolvenzgeld</t>
  </si>
  <si>
    <t>Gesamt *+U1+U2+Insolvenzgeld</t>
  </si>
  <si>
    <t>PK/BK</t>
  </si>
  <si>
    <t>PK/BK o.</t>
  </si>
  <si>
    <t>PFK/BFK</t>
  </si>
  <si>
    <t xml:space="preserve"> mind. 3 Jahre Berufsausbildung</t>
  </si>
  <si>
    <t xml:space="preserve"> mind. 1 Jahr Berufsausbildung</t>
  </si>
  <si>
    <t xml:space="preserve"> mind. ohne 1 Jahr Berufsausbildung</t>
  </si>
  <si>
    <t>fixe, regelm. Entlohnung je VK</t>
  </si>
  <si>
    <t>mtl. Arbeitszeit (40 h/Woche)</t>
  </si>
  <si>
    <t>VK alle Beschäftigungsgruppen</t>
  </si>
  <si>
    <t xml:space="preserve">Anteil je Beschäftigungsgruppe </t>
  </si>
  <si>
    <t>einrichtungsindividuelles Entgeltniveau</t>
  </si>
  <si>
    <t>Gesamtbruttopersonalkosten je Jahr</t>
  </si>
  <si>
    <t>Hilfsspalten</t>
  </si>
  <si>
    <t>Register</t>
  </si>
  <si>
    <t xml:space="preserve">arbeitszeitnormierter Std.lohn </t>
  </si>
  <si>
    <t>Ausbildungsbetrieb und/oder Praktikumsbetrieb nach dem Pflegeberufegesetz</t>
  </si>
  <si>
    <t>SPERREN UND AUSBLENDEN</t>
  </si>
  <si>
    <t>letzter Vereinbarungszeitraum:</t>
  </si>
  <si>
    <t>Forderung:</t>
  </si>
  <si>
    <t>Verhandelte Kostenkalkulation der letzten Pflegesatzvereinbarung:</t>
  </si>
  <si>
    <t>Sachkosten</t>
  </si>
  <si>
    <t>Fremdleistung</t>
  </si>
  <si>
    <t>max</t>
  </si>
  <si>
    <t>Begründungen für:</t>
  </si>
  <si>
    <t xml:space="preserve"> - Sachkostensteigerungen -</t>
  </si>
  <si>
    <t xml:space="preserve"> - Fremdleistungen -</t>
  </si>
  <si>
    <t>Stundenlohn:</t>
  </si>
  <si>
    <t>Jahresbruttostunden</t>
  </si>
  <si>
    <t>40 Std./Wo</t>
  </si>
  <si>
    <t>Jahresbruttolohn:</t>
  </si>
  <si>
    <t>Arbeitgeberanteile:</t>
  </si>
  <si>
    <t>Zwischensumme:</t>
  </si>
  <si>
    <t>sofern keine Zuschläge</t>
  </si>
  <si>
    <t>Zuschläge:</t>
  </si>
  <si>
    <t>sofern keine fest vereinbarten Sonderzahlungen</t>
  </si>
  <si>
    <t>13. Monatsgehalt**:</t>
  </si>
  <si>
    <t>HW</t>
  </si>
  <si>
    <t>Kü</t>
  </si>
  <si>
    <t>HAT</t>
  </si>
  <si>
    <t>inkl. 2% PNK + 2% UR:</t>
  </si>
  <si>
    <t>&lt;</t>
  </si>
  <si>
    <t>max. bis</t>
  </si>
  <si>
    <t xml:space="preserve">Steigerungsraten </t>
  </si>
  <si>
    <t>LuV</t>
  </si>
  <si>
    <t>B1 - Grundsatz:</t>
  </si>
  <si>
    <t xml:space="preserve">    =&gt; sonstige Stellen = pauschale Steigerung der bisher geeinten PK um x%</t>
  </si>
  <si>
    <t xml:space="preserve">    =&gt; für Leitung/Verwaltung, HW, Kü, HAT = pauschale Steigerung der bisher geeinten PK um x% aber mindestens um x% auf den Mindestlohn</t>
  </si>
  <si>
    <t>Die Berechnungen gehen immer von der korrekten Erfassung und der Wiedergabe der geeinten Werte vom Ergebnisblatt aus!</t>
  </si>
  <si>
    <t>Berechnung der progn. PK auf Basis der geeinten PK</t>
  </si>
  <si>
    <t xml:space="preserve">          bisher geeinten Personalkosten        =&gt; </t>
  </si>
  <si>
    <t>pauschale Herleitung der Prognose</t>
  </si>
  <si>
    <t>unter Mindestlohn                     =&gt;</t>
  </si>
  <si>
    <t>Mindestlohn +x %</t>
  </si>
  <si>
    <t>geeint + x%</t>
  </si>
  <si>
    <t>Herleitung der Personalkosten</t>
  </si>
  <si>
    <t xml:space="preserve">                         =&gt;</t>
  </si>
  <si>
    <t>unter  Mindestlohn                 =&gt;</t>
  </si>
  <si>
    <t>über Mindestlohn                   =&gt;</t>
  </si>
  <si>
    <t>Die Belegung, die PR für Pflege, Betreuung und sonstige Mitarbeiter, die FKQ Pflege sind für die Prognose veränderbar im Rahmen der Wirtschaftlichkeit und der rahmenvertraglichen Vorgaben. Die restliche Personalausstattung bleibt unverändert. Die Sachkosten, die Fremdleistungen sowie die Beförderungsvergütungen werden auf Basis der geeinten Werte prognostisch um x% gesteigert. Die Personalkosten werden für Mitarbeiter Pflege/Betreuung nach GVWG umgestellt. Die Personalkosten in den Funktionsbereichen LuV, HW, Kü, HAT werden auf Basis der geeinten Personalkosten um x% gesteigert aber mindestens um x% auf den Mindestlohn</t>
  </si>
  <si>
    <t>pflegesatzverhandlungen_sachsen@plus.aok.de</t>
  </si>
  <si>
    <t>% Ansatz für sv-freie Zuschläge für:</t>
  </si>
  <si>
    <t>LuV/HW/Kü, HAT - kein Veto in AG VM 08.06.2022</t>
  </si>
  <si>
    <t>Pflege/ Betreuung, zusätzliche Betreuung entspr. PSK Beschluss 19.05.2022</t>
  </si>
  <si>
    <t>ERGEBNIS</t>
  </si>
  <si>
    <t>Vereinbarungszeitraum prospektiv:</t>
  </si>
  <si>
    <t>Datum der 
Änderung</t>
  </si>
  <si>
    <t>Tabellenblatt</t>
  </si>
  <si>
    <t>Zeile/Spalte</t>
  </si>
  <si>
    <t>Erläuterung der Änderung</t>
  </si>
  <si>
    <t>Hinweise für die Anwender</t>
  </si>
  <si>
    <t>Heidestraße 40</t>
  </si>
  <si>
    <t>10557 Berlin</t>
  </si>
  <si>
    <t>€/Tag</t>
  </si>
  <si>
    <t>handelnd für alle Kostenträger (Datum, Unterschrift)</t>
  </si>
  <si>
    <t>Zulassungsdatum der Pflegeeinrichtung:</t>
  </si>
  <si>
    <t>Einrichtungsformen -Steigerung PK</t>
  </si>
  <si>
    <t>Einrichtungsformen - sv-freie Zuschläge</t>
  </si>
  <si>
    <t xml:space="preserve"> </t>
  </si>
  <si>
    <t>Entgeltniveau inkl. variabler pflegetypischer Zuschläge pro Jahr/VK</t>
  </si>
  <si>
    <t>verguetung-pflege.sac@vdek.com</t>
  </si>
  <si>
    <t>BARMER</t>
  </si>
  <si>
    <t>Landesvertretung Sachsen</t>
  </si>
  <si>
    <t>Postfach 12 03 65</t>
  </si>
  <si>
    <t>01004 Dresden</t>
  </si>
  <si>
    <t>Mitglieder:</t>
  </si>
  <si>
    <t>Techniker Krankenkasse</t>
  </si>
  <si>
    <t>STD_VG_PFK</t>
  </si>
  <si>
    <t>STD_VH_PHK_mit ausbildung</t>
  </si>
  <si>
    <t>STD_VG_PHK_ohne Ausbildung</t>
  </si>
  <si>
    <t>STD_VG_einr. ind. Egniveau</t>
  </si>
  <si>
    <t>VK_PFK</t>
  </si>
  <si>
    <t>VK_PHK_mit ausbildung</t>
  </si>
  <si>
    <t>VK_PHK_ohne Ausbildung</t>
  </si>
  <si>
    <t>GES_VG_PFK</t>
  </si>
  <si>
    <t>GES_VG_PHK_mit Ausbildung</t>
  </si>
  <si>
    <t>GES_VG_PHK_ohne Ausbildung</t>
  </si>
  <si>
    <t xml:space="preserve">Hinweisfelder hervorheben </t>
  </si>
  <si>
    <t>Felder mit Hinweisen und Fehlermeldungen werden blau (="ja") bzw. weiß (="nein") hinterlegt</t>
  </si>
  <si>
    <t>unmittelbare Bindung Tarif / AVR:</t>
  </si>
  <si>
    <t>Welcher Tarif / AVR:</t>
  </si>
  <si>
    <t>Fassung vom:</t>
  </si>
  <si>
    <t>Entlohnung nach:</t>
  </si>
  <si>
    <t>rüE</t>
  </si>
  <si>
    <t>Pflege / Betreuung</t>
  </si>
  <si>
    <t>rüE Pflege- und Betreuungskräfte mit mind. einjähriger berufsausbildung</t>
  </si>
  <si>
    <t>rüE Pflege- und Betreuungskräfte ohne mind. einjähriger berufsausbildung</t>
  </si>
  <si>
    <t>rüE Pflege- und Betreuungsfachkräfte mit mind. dreijähriger Berufsausbildung</t>
  </si>
  <si>
    <t>keine Pflege</t>
  </si>
  <si>
    <t>Qualifikation</t>
  </si>
  <si>
    <t>Personalkosten in €/VK</t>
  </si>
  <si>
    <t>Gesamtdokument</t>
  </si>
  <si>
    <t>Belegung gesamt:</t>
  </si>
  <si>
    <t>PLZ</t>
  </si>
  <si>
    <t>Ort</t>
  </si>
  <si>
    <t>PDL / stellvertretende PDL</t>
  </si>
  <si>
    <t>Regional übliches Entgelt / allgemeiner Mindestlohn</t>
  </si>
  <si>
    <t>allgemeiner Mindestlohn</t>
  </si>
  <si>
    <t>Steigerungsrate</t>
  </si>
  <si>
    <t>pflegeverhandlungen-sachsen@ikk-classic.de</t>
  </si>
  <si>
    <t>vertrag.chemnitz@kbs.de</t>
  </si>
  <si>
    <t>Pflege-SN@bkkmitte.de</t>
  </si>
  <si>
    <t>und</t>
  </si>
  <si>
    <t>pflege@pkv.de</t>
  </si>
  <si>
    <t xml:space="preserve">pflegesatzverhandlungen_sachsen@barmer.de </t>
  </si>
  <si>
    <t>Pflege/ Betreuung</t>
  </si>
  <si>
    <t>Wasser, Energie, Brennstoffe</t>
  </si>
  <si>
    <t>Freiwillige Dienste/FSJ Einsatz</t>
  </si>
  <si>
    <t>Freiwillige Dienste/ FSJ Einsatz</t>
  </si>
  <si>
    <t>Geschäftsbereich Gesundheitspartner</t>
  </si>
  <si>
    <t>Bereich Pflege/HKP</t>
  </si>
  <si>
    <t>Fachbereich Vertrags- und Qualitätsmanagement SAC</t>
  </si>
  <si>
    <t xml:space="preserve">Erläuterung der Änderungen gegenüber der Vorversion (Änderungshistorie ab 18.06.2026) </t>
  </si>
  <si>
    <t>Pflegegrad 1 bis 5</t>
  </si>
  <si>
    <t>§ 43 b SGB XI</t>
  </si>
  <si>
    <t>€ gesamt</t>
  </si>
  <si>
    <t>€/VK bzw. €/Stelle</t>
  </si>
  <si>
    <t>Pflege&amp;Betreuung</t>
  </si>
  <si>
    <t>gültig ab 01.01.2027</t>
  </si>
  <si>
    <t>Im Antrag:</t>
  </si>
  <si>
    <t>zusätzliche Betreuung und Aktivierung nach 
§ 43 b SGB XI</t>
  </si>
  <si>
    <t>Personelle Ausstattung / Personalkosten der Pflegeeinrichtung:</t>
  </si>
  <si>
    <t>Vollkräfte</t>
  </si>
  <si>
    <t>Personal-relation</t>
  </si>
  <si>
    <t>Gesamt:</t>
  </si>
  <si>
    <t xml:space="preserve"> 1:</t>
  </si>
  <si>
    <t>Einsatzstellen Freiwillige Dienste / FSJ</t>
  </si>
  <si>
    <t>Anzahl:</t>
  </si>
  <si>
    <t>Kosten je Stelle</t>
  </si>
  <si>
    <t>2.1. Lebensmittel</t>
  </si>
  <si>
    <t>2.2. pflegerischer Sachbedarf</t>
  </si>
  <si>
    <t>2.3. Wasser, Energie, Brennstoffe</t>
  </si>
  <si>
    <t>3.1. Küche</t>
  </si>
  <si>
    <t>3.2. Wäscherei</t>
  </si>
  <si>
    <t>3.3. Wäschekennzeichnung</t>
  </si>
  <si>
    <t>3.4. Reinigung</t>
  </si>
  <si>
    <t>3.5. Haustechnik</t>
  </si>
  <si>
    <t>€ / Tag</t>
  </si>
  <si>
    <t>Entgelte:</t>
  </si>
  <si>
    <t>für die Unterkunft:</t>
  </si>
  <si>
    <t>für die Verpflegung:</t>
  </si>
  <si>
    <t>Belegung:</t>
  </si>
  <si>
    <t>Die ständige Anwesenheit einer Pflegefachkraft wird sichergestellt:</t>
  </si>
  <si>
    <t>Vergütungszuschlag § 43 b SGB XI:</t>
  </si>
  <si>
    <t>für Kalk Progn</t>
  </si>
  <si>
    <t>für Kalk Ist</t>
  </si>
  <si>
    <t>für Bvgl</t>
  </si>
  <si>
    <t>Zusätzliche Betreuung und Aktivierung nach            § 43 b SGB XI</t>
  </si>
  <si>
    <t>Personal-kosten je VK</t>
  </si>
  <si>
    <t>Fremdleistungen / Leistungen des Trägers (gesamt):</t>
  </si>
  <si>
    <t>Sachaufwendungen (gesamt):</t>
  </si>
  <si>
    <t>Vereinbarungszeitraum:</t>
  </si>
  <si>
    <t>Pflegegrad 1 bis 5:</t>
  </si>
  <si>
    <t>Kurzzeitpflege</t>
  </si>
  <si>
    <t>3.7.</t>
  </si>
  <si>
    <t>Verpflegung</t>
  </si>
  <si>
    <t>Vereinfachtes Verfahren der Aufforderung zum Abschluss einer Pflegesatzvereinbarung gemäß § 84, 85 SGB XI - Kurzzeitpflegeeinrichtungen</t>
  </si>
  <si>
    <t>CheckMonate</t>
  </si>
  <si>
    <t>Hauswirtschaft/ Küche/ Haustechnik</t>
  </si>
  <si>
    <t xml:space="preserve">Entlohnung der Pflege-/Betreuungsmitarbeiter entsprechend der Vorgaben </t>
  </si>
  <si>
    <t>Personalmenge lt. RV</t>
  </si>
  <si>
    <t>check</t>
  </si>
  <si>
    <t>Pflege/Betreuung</t>
  </si>
  <si>
    <t>Leitung</t>
  </si>
  <si>
    <t>Hawi, Kü, HAT</t>
  </si>
  <si>
    <t>43b</t>
  </si>
  <si>
    <t>2.9.</t>
  </si>
  <si>
    <t>2.10.</t>
  </si>
  <si>
    <t>Verwaltungsbedarf</t>
  </si>
  <si>
    <t>Zentrale Verwaltungsdienste</t>
  </si>
  <si>
    <t>Verwaltung</t>
  </si>
  <si>
    <t>Forderung</t>
  </si>
  <si>
    <t>Pflegesatz</t>
  </si>
  <si>
    <t>Hauswirtschaft / Küche / Haustechnik</t>
  </si>
  <si>
    <t>2.6. Betreuungsaufwand</t>
  </si>
  <si>
    <t>2.7. Wirtschaftsbedarf</t>
  </si>
  <si>
    <t>2.8. Steuern/Abgaben/Versicherungen</t>
  </si>
  <si>
    <t>2.9. Wartung (keine Instandhaltung)</t>
  </si>
  <si>
    <t>2.10. sonstige Aufwendungen</t>
  </si>
  <si>
    <t>2.4. Verwaltungsbedarf</t>
  </si>
  <si>
    <t>2.5. Zentrale Verwaltungsdienste</t>
  </si>
  <si>
    <t>Pflegesatz:</t>
  </si>
  <si>
    <t xml:space="preserve">Pflegesatz und Entgelte </t>
  </si>
  <si>
    <t>Entgelte für Pflege, Unterkunft und Verpflegung in Kurzzeitpflegeeinrichtungen nach § 42 SGB XI</t>
  </si>
  <si>
    <t xml:space="preserve">führen kann, wurde uns vom Einrichtungsträger vorgelegt und erläutert. Die dem Antrag zugrunde   </t>
  </si>
  <si>
    <t xml:space="preserve">liegenden Einzelpositionen, der Umlagemaßstab sowie die Antragsbegründung wurden </t>
  </si>
  <si>
    <t>gehe weiter zu B_KZP_Ergebnis</t>
  </si>
  <si>
    <t>Leitung / Verwaltung</t>
  </si>
  <si>
    <t>Divisor</t>
  </si>
  <si>
    <t>Aufwendungen für Leistungen im Pflegegrad 1 bis 5</t>
  </si>
  <si>
    <r>
      <t xml:space="preserve">Aufwendungen für Leistungen im </t>
    </r>
    <r>
      <rPr>
        <b/>
        <sz val="10"/>
        <color theme="1"/>
        <rFont val="Arial"/>
        <family val="2"/>
      </rPr>
      <t>Pflegegrad 1 bis 5</t>
    </r>
  </si>
  <si>
    <r>
      <t xml:space="preserve">Aufwendungen für 
</t>
    </r>
    <r>
      <rPr>
        <b/>
        <sz val="10"/>
        <color theme="1"/>
        <rFont val="Arial"/>
        <family val="2"/>
      </rPr>
      <t>§ 43b</t>
    </r>
    <r>
      <rPr>
        <sz val="10"/>
        <color theme="1"/>
        <rFont val="Arial"/>
        <family val="2"/>
      </rPr>
      <t xml:space="preserve"> SGB XI</t>
    </r>
  </si>
  <si>
    <t>Aufwendungen für § 43b SGB XI</t>
  </si>
  <si>
    <t>1.1.</t>
  </si>
  <si>
    <t>1.2.</t>
  </si>
  <si>
    <t>2.4</t>
  </si>
  <si>
    <t>2.5</t>
  </si>
  <si>
    <t>Pflege</t>
  </si>
  <si>
    <t>§ 43b SGB XI</t>
  </si>
  <si>
    <t>errechnete Pflegesätze (€ / Tag):</t>
  </si>
  <si>
    <t>Pflege und Betreuung ohne PDL / stellv. PDL</t>
  </si>
  <si>
    <t>Gesamt Pflege und Betreuung ohne PDL / stellv. PDL:</t>
  </si>
  <si>
    <t>Pflge &amp; Betreuung - Personalkosten gesamt</t>
  </si>
  <si>
    <t>zusätzliche Betreuung - Personalkosten gesamt</t>
  </si>
  <si>
    <t>Personalkosten gesamt</t>
  </si>
  <si>
    <t>Neugestaltung der Antragsunterlagen auf Basis des Antrages B_PH</t>
  </si>
  <si>
    <t>gehe weiter zu B_KZP_Kalkulation</t>
  </si>
  <si>
    <t>gehe weiter zu B_KZP_Berechnung rüE</t>
  </si>
  <si>
    <t>gehe weiter zu B_KZP_Bewohnervertretung</t>
  </si>
  <si>
    <t>HW/K/HT</t>
  </si>
  <si>
    <t>Personalrelation</t>
  </si>
  <si>
    <t>Beschäftigungsgruppe</t>
  </si>
  <si>
    <t>Betreuung</t>
  </si>
  <si>
    <t>Zusammenführung Personal Hauswirtschaft, Küche und Haustechnik</t>
  </si>
  <si>
    <t>bisherige Vereinbarung</t>
  </si>
  <si>
    <t>zukünftige Vereinbarung</t>
  </si>
  <si>
    <t>Personalkosten (je VK)</t>
  </si>
  <si>
    <t>KZP</t>
  </si>
  <si>
    <t xml:space="preserve">Entscheidung UAG und Kostenträger 21.11.2024 (Pflege,Betreuung,43b, HW,Kü;HAT) für KZP - LuV bleibt - bei TP bleiben alle Werte </t>
  </si>
  <si>
    <t>Zusammenführung Personal Pflege und Betreuung</t>
  </si>
  <si>
    <t>3.1</t>
  </si>
  <si>
    <t>3.2</t>
  </si>
  <si>
    <t>3.3</t>
  </si>
  <si>
    <t>3.4</t>
  </si>
  <si>
    <t>3.5</t>
  </si>
  <si>
    <t>3.6</t>
  </si>
  <si>
    <t>3.7</t>
  </si>
  <si>
    <t>abweichende Stellen Pflege / Betreuung</t>
  </si>
  <si>
    <t>abweichende Stellen HW/ Kü/ HT</t>
  </si>
  <si>
    <t>Verhandlungsführer</t>
  </si>
  <si>
    <t>Kostenträger</t>
  </si>
  <si>
    <t>KSV</t>
  </si>
  <si>
    <t>Stand 30.09.2026</t>
  </si>
  <si>
    <t>Vereinbarungswerte</t>
  </si>
  <si>
    <t>Pflegesätze</t>
  </si>
  <si>
    <t xml:space="preserve"> - Personalkostensteigerungen -</t>
  </si>
  <si>
    <t>B_KZP_Kalkulation</t>
  </si>
  <si>
    <t>06.10.2026/ 07.10.2026</t>
  </si>
  <si>
    <t>O26, O21 und O22:R31</t>
  </si>
  <si>
    <t>O26: Text enfernt (alt:  "- Personalkostensteigerungen - (nicht für Funktionsbereich Pflege, Betreuung, zusätzliche Betreuung notwendig)")
O21: Text ersetzt (alt: " - die veränderte Personalausstattung -")
Zellen verbunden</t>
  </si>
  <si>
    <t>KAT</t>
  </si>
  <si>
    <t>Steigerungen entsprechend Beschluss PSK vom 08.10.2026 angepasst</t>
  </si>
  <si>
    <t>diverse Zellen</t>
  </si>
  <si>
    <t xml:space="preserve">Textfarbe in grau geändert (zur Kennzeichnung nicht verwendeter Inhalte) </t>
  </si>
  <si>
    <t>Formel angepasst</t>
  </si>
  <si>
    <t>Prüfung Mindetslohn entfernt</t>
  </si>
  <si>
    <t>Spalte M</t>
  </si>
  <si>
    <t>Hinweistexte bei Überschreitung der max. Steigerungen angepasst</t>
  </si>
  <si>
    <t>B_KZP_Allgemeine Angaben</t>
  </si>
  <si>
    <t>*Berechnungsgrundlagen Mindestlohn für LAUFZEIT für Arbeitnehmer, die nicht in der Grundpflege tätig sind, HAUSWIRTSCHAFT/ KÜCHE / HAUSTECHNIK</t>
  </si>
  <si>
    <t xml:space="preserve">rüE alt </t>
  </si>
  <si>
    <t>Tarifbindung/Tarifanlehnung</t>
  </si>
  <si>
    <t>Einrichtungsleitung:</t>
  </si>
  <si>
    <t>N58</t>
  </si>
  <si>
    <t>Formel durch "0" ersetzt (um das aktivieren des Blattes B_PH_Berechnung rüE zu verhindern) (alt: =WENN(UND(H55&lt;&gt;"ja";H56="rüE");1;0))</t>
  </si>
  <si>
    <t>Hauswirtschaft/ Küche/ Haustechnik:</t>
  </si>
  <si>
    <t>H30:K38</t>
  </si>
  <si>
    <t>J58</t>
  </si>
  <si>
    <t>B_KZP_Berechnung rüE</t>
  </si>
  <si>
    <t>Blatt ausgeblendet</t>
  </si>
  <si>
    <t>L27</t>
  </si>
  <si>
    <t>J26 (&amp; J27 analog)</t>
  </si>
  <si>
    <t>Formel angepasst (alt: =WENNFEHLER($L$16/I26;"")) - Kalkulation funktioniert nun auch, falls kein L&amp;V oder HW/K/HAT vereinbart ist</t>
  </si>
  <si>
    <t>"Auslastung" bzw. "Auslastungsgrad" durch "Auslastungsquote" ersetzt</t>
  </si>
  <si>
    <t>B7, D8</t>
  </si>
  <si>
    <t>kalkulatorische Auslastungsquote:</t>
  </si>
  <si>
    <t>Bewohnersprecher *</t>
  </si>
  <si>
    <t>Bewohnervertretung oder Bewohnersprecher haben diese nicht wahrgenommen</t>
  </si>
  <si>
    <t>Bewohnervertretung oder Bewohnersprecher nicht vorhanden,</t>
  </si>
  <si>
    <t>Einbeziehung der Bewohnervertretung / des Bewohnersprechers:</t>
  </si>
  <si>
    <t>Stellungnahme der Bewohnervertretung / des Bewohnersprechers:</t>
  </si>
  <si>
    <t>oder des Bewohnersprechers</t>
  </si>
  <si>
    <t>H45, H51</t>
  </si>
  <si>
    <t>Angaben nur größer gleich 73 möglich; Hinweistext entsprechend angepasst</t>
  </si>
  <si>
    <t>D8</t>
  </si>
  <si>
    <t>Hinweistext angepasst; Neueröffnungsfall entfernt</t>
  </si>
  <si>
    <t>D7</t>
  </si>
  <si>
    <t>B_KZP_Bewohnervertretung</t>
  </si>
  <si>
    <t>Begriff "Bewohnerfürsprecher" durch "Bewohnersprecher" ersetzt</t>
  </si>
  <si>
    <t>Angaben werden nun in rot angezeigt, wenn Vereinbarungsbeginn kleiner oder gleich Zulassungsdatum</t>
  </si>
  <si>
    <t>Hinweise zum vereinfachten Verfahren der Aufforderung zum Abschluss einer Pflegesatzvereinbarung gemäß §§ 84, 85 SGB XI sowie von Vereinbarungen nach § 75 SGB XII für Kurzzeitpflegeeinrichtungen im Sinne § 1 Abs. 6 des Rahmenvertrages</t>
  </si>
  <si>
    <t>Inhaltsverzeichnis</t>
  </si>
  <si>
    <t>2. Aufforderungsunterlagen</t>
  </si>
  <si>
    <r>
      <rPr>
        <b/>
        <sz val="11"/>
        <color theme="1"/>
        <rFont val="Arial"/>
        <family val="2"/>
      </rPr>
      <t>2. Aufforderungsunterlagen</t>
    </r>
    <r>
      <rPr>
        <sz val="11"/>
        <color theme="1"/>
        <rFont val="Arial"/>
        <family val="2"/>
      </rPr>
      <t xml:space="preserve">
Die Aufforderungsunterlagen enthalten Formeln, so dass sich die beantragten Pflegesätze und 
Entgelte errechnen. Es sind ausschließlich die gelben Felder auszufüllen.</t>
    </r>
  </si>
  <si>
    <r>
      <rPr>
        <b/>
        <sz val="11"/>
        <color theme="1"/>
        <rFont val="Arial"/>
        <family val="2"/>
      </rPr>
      <t>2.1. Mappe Allgemeine Angaben</t>
    </r>
    <r>
      <rPr>
        <sz val="11"/>
        <color theme="1"/>
        <rFont val="Arial"/>
        <family val="2"/>
      </rPr>
      <t xml:space="preserve">
Für jede Pflegeeinrichtung muss zwingend ein leeres Antragsformular verwendet werden. 
Die Platzzahl bestimmt sich nach dem Versorgungsvertrag. 
Der Vereinbarungszeitraum umfasst regelmäßig mindestens 12 Monate.
Die Pflegeeinrichtung muss auswählen, ob sie unmittelbar an einen Tarif / eine AVR gebunden ist, 
sich an ein Tarifwerk anlehnt oder nach dem regional üblichen Entgelt entlohnt. In Abhängigkeit 
der getroffenen Aussage stehen differenzierte Steigerungsraten für die Kalkulation zur Verfügung.  
Die Parteien der Pflegesatzvereinbarung sind gemäß § 85 Abs. 2 SGB XI zu ermitteln und ihr 
Anteil an den Berechnungstagen der Pflegeeinrichtung entsprechend anzugeben. Der Anteil der 
Bewohner, die ergänzende Leistungen der Sozialhilfe erhalten, ist zusätzlich als Davonposition auszuweisen. </t>
    </r>
  </si>
  <si>
    <r>
      <rPr>
        <b/>
        <sz val="11"/>
        <color theme="1"/>
        <rFont val="Arial"/>
        <family val="2"/>
      </rPr>
      <t>2.2. Mappe Kalkulation</t>
    </r>
    <r>
      <rPr>
        <sz val="11"/>
        <color theme="1"/>
        <rFont val="Arial"/>
        <family val="2"/>
      </rPr>
      <t xml:space="preserve">
</t>
    </r>
    <r>
      <rPr>
        <u/>
        <sz val="11"/>
        <color theme="1"/>
        <rFont val="Arial"/>
        <family val="2"/>
      </rPr>
      <t>Auslastungsquote</t>
    </r>
    <r>
      <rPr>
        <sz val="11"/>
        <color theme="1"/>
        <rFont val="Arial"/>
        <family val="2"/>
      </rPr>
      <t xml:space="preserve">
Die Auslastungsquote der Kurzzeitpflegeeinrichtung orientiert sich an der tatsächlichen 
Auslastung der letzten zwei Jahre, mindestens aber 78 %. In diesem Rahmen kann eine 
Abweichung von 5 % unter der tatsächlichen Auslastung der letzten zwei Jahre kalkuliert werden. 
Abweichend hiervon gilt für das zweite Jahr der Zulassung eine Auslastungsquote von 73 % 
unabhängig von der tatsächlichen Auslastungsquote. 
Neu zugelassene Kurzzeitpflegeeinrichtungen können das vereinfachte Verfahren nicht nutzen.
</t>
    </r>
    <r>
      <rPr>
        <u/>
        <sz val="11"/>
        <color theme="1"/>
        <rFont val="Arial"/>
        <family val="2"/>
      </rPr>
      <t>Belegungstage</t>
    </r>
    <r>
      <rPr>
        <sz val="11"/>
        <color theme="1"/>
        <rFont val="Arial"/>
        <family val="2"/>
      </rPr>
      <t xml:space="preserve">
Bei bestehenden Kurzzeitpflegeeinrichtungen sind die Belegungstage für 24 Monate insgesamt 
zu ermitteln. Der Beginn des Belegungszeitraumes darf nicht mehr als 30 Monate vor 
Laufzeitbeginn liegen. Kann auf Grund einer kürzeren Dauer nach der Zulassung dieser Umfang 
noch nicht erreicht werden, verkürzt sich die Angabe des Belegungszeitraums entsprechend.
</t>
    </r>
    <r>
      <rPr>
        <u/>
        <sz val="11"/>
        <color theme="1"/>
        <rFont val="Arial"/>
        <family val="2"/>
      </rPr>
      <t>jährliche Öffnungstage</t>
    </r>
    <r>
      <rPr>
        <sz val="11"/>
        <color theme="1"/>
        <rFont val="Arial"/>
        <family val="2"/>
      </rPr>
      <t xml:space="preserve">
365 Tage
Im Übrigen bildet der linke Teil der Tabelle den Sachstand der aktuell gültigen 
Pflegesatzvereinbarung ab. 
Im rechten Teil der Tabelle wird die Forderung der Pflegeeinrichtung dargestellt.
</t>
    </r>
    <r>
      <rPr>
        <u/>
        <sz val="11"/>
        <color theme="1"/>
        <rFont val="Arial"/>
        <family val="2"/>
      </rPr>
      <t>Pflegebedürftige in der Einrichtung</t>
    </r>
    <r>
      <rPr>
        <sz val="11"/>
        <color theme="1"/>
        <rFont val="Arial"/>
        <family val="2"/>
      </rPr>
      <t xml:space="preserve">
Die Kurzzeitpflegeeinrichtung kann entsprechend der aktuell gültigen Pflegesatzvereinbarung 
Pflegebedürftige in allen Pflegegraden oder nur in einigen Pflegegraden angeben. 
Die Belegung muss der Platzzahl im Versorgungsvertrag entsprechen.
</t>
    </r>
  </si>
  <si>
    <t>Es werden pflegegradunabhängig eine Personalmenge, Personalrelationen und ein Pflegesatz 
ermittelt.
Eine Änderung der prognostischen Belegung ist nicht möglich.</t>
  </si>
  <si>
    <r>
      <rPr>
        <u/>
        <sz val="11"/>
        <color theme="1"/>
        <rFont val="Arial"/>
        <family val="2"/>
      </rPr>
      <t>Personalausstattung der Pflegeeinrichtung</t>
    </r>
    <r>
      <rPr>
        <sz val="11"/>
        <color theme="1"/>
        <rFont val="Arial"/>
        <family val="2"/>
      </rPr>
      <t xml:space="preserve">
Grundlage für die Ermittlung der beantragten Personalausstattung ist das prospektiv in der 
Einrichtung beschäftigte Personal. Eine Vollkraft wird mit 40 Stunden / Woche kalkuliert. 
Die Personalrelation für PDL und stellvertretende PDL beträgt bis 1 zu 20. Der Stellenanteil wird 
aus der bisherigen Personalrelation Pflege herausgelöst.
Die Mitarbeiter Pflege und die Mitarbeiter Betreuung bilden einen gemeinsamen Funktionsbereich. 
Die summierten Stellenanteile für PDL, stellvertretende PDL, die Mitarbeiter Pflege und die 
Mitarbeiter Betreuung entsprechen der aktuell gültigen Pflegesatzvereinbarung. 
Eine Reduzierung ist möglich.
Die Mitarbeiter der zusätzlichen Betreuung und Aktivierung nach § 43b SGB XI bilden einen 
separaten Funktionsbereich. 
Der gemeinsame Funktionsbereich Hauswirtschaft / Küche / Haustechnik wird aus den 
bisherigen einzelnen Stellenanteilen zusammengefasst. Eine Reduzierung ist möglich.
Die Stellen für Freiwillige Dienste / FSJ sind ebenfalls der aktuell gültigen Pflegesatzvereinbarung 
zu entnehmen. Eine prospektive Veränderung ist möglich.
Entsprechende Hinweise (Fehlermeldungen) sind zu beachten. </t>
    </r>
  </si>
  <si>
    <r>
      <rPr>
        <u/>
        <sz val="11"/>
        <color theme="1"/>
        <rFont val="Arial"/>
        <family val="2"/>
      </rPr>
      <t>Personalkosten</t>
    </r>
    <r>
      <rPr>
        <sz val="11"/>
        <color theme="1"/>
        <rFont val="Arial"/>
        <family val="2"/>
      </rPr>
      <t xml:space="preserve">
Die Personalkosten werden aus der aktuell gültigen Pflegesatzvereinbarung übernommen.
Die Angaben der Personalkosten Prognose sind abhängig von der Wahl der Entlohnung (AVR / 
Tarif, Tarifanlehner, regional übliches Entgelt) in der Mappe Allgemeine Angaben.
Aus den bisher vereinbarten Personalkosten Pflege und Betreuung werden die gewichteten 
Personalkosten für den gemeinsamen Funktionsbereich Pflege / Betreuung ermittelt. 
Aus den bisher vereinbarten Personalkosten Küche, Hauswirtschaft und Haustechnik werden die 
gewichteten Personalkosten für den gemeinsamen Funktionsbereich Hauswirtschaft / Küche / 
Haustechnik ermittelt. 
Die Steigerung der Personalkosten wird für alle Funktionsbereiche in der Mappe Kalkulation 
eingetragen. 
Die bisher geeinten Personalkosten können in den Funktionsbereichen:
</t>
    </r>
  </si>
  <si>
    <t>Tarifgebundene Einrichtungen / Tarifanlehner</t>
  </si>
  <si>
    <t>Regional übliches Entgelt</t>
  </si>
  <si>
    <t>um maximal 5 %</t>
  </si>
  <si>
    <t>um maximal 3 %</t>
  </si>
  <si>
    <t>zusätzliche Betreuung und Aktivierung nach § 43 b SGB XI</t>
  </si>
  <si>
    <t>um maximal 3,42 %</t>
  </si>
  <si>
    <t>Freiwillige Dienste / FSJ</t>
  </si>
  <si>
    <t>um maximal 4 %</t>
  </si>
  <si>
    <t>gesteigert werden.
Für Freiwillige Dienste und FSJ sind im Antrag Netto-Personalkosten darzustellen.
Das regionale Entlohnungsniveau für Pflege / Betreuung und zusätzliche Betreuung nach 
§ 43b SGB XI im Rahmen der Veröffentlichung nach § 82c Abs. 5 SGB XI (Stand 30.09.2026) für 
das regional übliche Entgelt beträgt:</t>
  </si>
  <si>
    <t>Pflege- und Betreuungskräfte ohne mindestens einjährige Berufsausbildung</t>
  </si>
  <si>
    <t>20,88 € / h</t>
  </si>
  <si>
    <t>Pflege- und Betreuungskräfte mit mindestens einjähriger Berufsausbildung</t>
  </si>
  <si>
    <t>22,52 € / h</t>
  </si>
  <si>
    <t>Fachkräfte in den Bereichen Pflege und Betreuung mit mindestens dreijähriger Berufsausbildung</t>
  </si>
  <si>
    <t>27,18 € / h</t>
  </si>
  <si>
    <r>
      <t xml:space="preserve">Regional übliches Entlohnungsniveau je Beschäftigtengruppe gemäß 
§ 4 Absatz 3 der Richtlinien des GKV-SV nach § 82c Absatz 4 SGB XI in 
</t>
    </r>
    <r>
      <rPr>
        <b/>
        <sz val="11"/>
        <color theme="1"/>
        <rFont val="Arial"/>
        <family val="2"/>
      </rPr>
      <t>Sachsen</t>
    </r>
    <r>
      <rPr>
        <sz val="11"/>
        <color theme="1"/>
        <rFont val="Arial"/>
        <family val="2"/>
      </rPr>
      <t xml:space="preserve"> (Stand 30.9.2026)</t>
    </r>
  </si>
  <si>
    <r>
      <t xml:space="preserve">Regionale Durchschnittswerte der tarifvertraglich oder in kirchlichen 
Arbeitsrechtsregelungen vereinbarten variablen pflegetypischen Zuschläge 
auf den Stundenlohn (Grundgehalt) gemäß § 5 Absatz 2 der Richtlinien des 
GKV-SV nach § 82c Absatz 4 SGB XI in </t>
    </r>
    <r>
      <rPr>
        <b/>
        <sz val="11"/>
        <color theme="1"/>
        <rFont val="Arial"/>
        <family val="2"/>
      </rPr>
      <t>Sachsen</t>
    </r>
    <r>
      <rPr>
        <sz val="11"/>
        <color theme="1"/>
        <rFont val="Arial"/>
        <family val="2"/>
      </rPr>
      <t xml:space="preserve"> (Stand 30.9.2026)</t>
    </r>
  </si>
  <si>
    <t>Nachtzuschläge für eine Tätigkeit in der Nacht, 
mindestens im Zeitraum zwischen 23 und 6 Uhr</t>
  </si>
  <si>
    <t>Sonntagszuschläge für eine Tätigkeit anSonntagen im Zeitraum zwischen 0 und 24 Uhr</t>
  </si>
  <si>
    <t>Feiertagszuschläge für eine Tätigkeit an 
gesetzlichen Feiertagen im Zeitraum zwischen 
0 und 24 Uhr (mit Freizeitausgleich)</t>
  </si>
  <si>
    <t>Feiertagszuschläge für eine Tätigkeit an 
gesetzlichen Feiertagen im Zeitraum zwischen 
0 und 24 Uhr (ohne Freizeitausgleich)</t>
  </si>
  <si>
    <r>
      <t xml:space="preserve">Die Personalkosten von PDL / stellvertretender PDL bleiben bei der Ermittlung des regional 
üblichen Entlohnungsniveaus unberücksichtigt.
</t>
    </r>
    <r>
      <rPr>
        <u/>
        <sz val="11"/>
        <color theme="1"/>
        <rFont val="Arial"/>
        <family val="2"/>
      </rPr>
      <t>Sachkosten</t>
    </r>
    <r>
      <rPr>
        <sz val="11"/>
        <color theme="1"/>
        <rFont val="Arial"/>
        <family val="2"/>
      </rPr>
      <t xml:space="preserve">
Die Sachkosten können in allen Positionen pauschal um maximal 3,0 % bezogen auf die aktuell 
geeinten Werte gesteigert werden.
</t>
    </r>
    <r>
      <rPr>
        <u/>
        <sz val="11"/>
        <color theme="1"/>
        <rFont val="Arial"/>
        <family val="2"/>
      </rPr>
      <t>Fremdleistungen</t>
    </r>
    <r>
      <rPr>
        <sz val="11"/>
        <color theme="1"/>
        <rFont val="Arial"/>
        <family val="2"/>
      </rPr>
      <t xml:space="preserve">
Die Fremdleistungen können in allen Positionen pauschal um maximal 5,0 % bezogen auf die 
aktuell geeinten Werte gesteigert werden.
Die Richtigkeit der Angaben der Pflegeeinrichtung ist mit Unterschrift zu bestätigen.</t>
    </r>
  </si>
  <si>
    <r>
      <rPr>
        <b/>
        <sz val="11"/>
        <color theme="1"/>
        <rFont val="Arial"/>
        <family val="2"/>
      </rPr>
      <t>2.3. Mappe Bewohnervertretung</t>
    </r>
    <r>
      <rPr>
        <sz val="11"/>
        <color theme="1"/>
        <rFont val="Arial"/>
        <family val="2"/>
      </rPr>
      <t xml:space="preserve">
Vollstationäre Pflegeeinrichtungen haben gemäß § 85 Abs. 3 SGB XI zum Zeitpunkt der 
Antragstellung eine Stellungnahme der Bewohnervertretung beizufügen.</t>
    </r>
  </si>
  <si>
    <r>
      <rPr>
        <b/>
        <sz val="11"/>
        <color theme="1"/>
        <rFont val="Arial"/>
        <family val="2"/>
      </rPr>
      <t>2.4. Mappe Ergebnis</t>
    </r>
    <r>
      <rPr>
        <sz val="11"/>
        <color theme="1"/>
        <rFont val="Arial"/>
        <family val="2"/>
      </rPr>
      <t xml:space="preserve">
Bis zur Ausfertigung der Pflegesatzvereinbarung erhält die Pflegeeinrichtung nach 
abgeschlossener Pflegesatzverhandlung ein von der Kostenträgerseite unterzeichnetes 
Ergebnis.
</t>
    </r>
    <r>
      <rPr>
        <u/>
        <sz val="11"/>
        <color theme="1"/>
        <rFont val="Arial"/>
        <family val="2"/>
      </rPr>
      <t>Ausbildungsvergütung gemäß § 82a SGB XI</t>
    </r>
    <r>
      <rPr>
        <sz val="11"/>
        <color theme="1"/>
        <rFont val="Arial"/>
        <family val="2"/>
      </rPr>
      <t xml:space="preserve">
Sofern die Pflegeeinrichtung eine Vereinbarung zur Ausbildungsvergütung gemäß § 82a SGB XI 
abgeschlossen hat, erhöht sich der jeweilige Pflegesatz um diesen Betrag.</t>
    </r>
  </si>
  <si>
    <r>
      <rPr>
        <b/>
        <sz val="11"/>
        <color theme="1"/>
        <rFont val="Arial"/>
        <family val="2"/>
      </rPr>
      <t>2.5. Mappe Gesamtkalkulation</t>
    </r>
    <r>
      <rPr>
        <sz val="11"/>
        <color theme="1"/>
        <rFont val="Arial"/>
        <family val="2"/>
      </rPr>
      <t xml:space="preserve">
Die Gesamtkalkulation fasst die vorangegangenen Angaben zur Ermittlung der 
Entgeltbestandteile zusammen. Hier kann die Pflegeeinrichtung keine Änderungen vornehmen. 
Ggf. sind Korrekturen auf den vorhergehenden Seiten erforderlich. </t>
    </r>
  </si>
  <si>
    <r>
      <rPr>
        <b/>
        <sz val="11"/>
        <color theme="1"/>
        <rFont val="Arial"/>
        <family val="2"/>
      </rPr>
      <t>1. Allgemeine Hinweise</t>
    </r>
    <r>
      <rPr>
        <sz val="11"/>
        <color theme="1"/>
        <rFont val="Arial"/>
        <family val="2"/>
      </rPr>
      <t xml:space="preserve">
Dieses Antragsverfahren kann von Kurzzeitpflegeeinrichtungen im Sinne des § 1 Abs. 6 des 
Rahmenvertrages zur Kurzzeitpflege gemäß § 75 Abs. 1 SGB XI im Freistaat Sachsen (in Kraft 
ab 1. Juli 2026) genutzt werden, 
•	deren aktuell gültige Pflegesatzvereinbarung ausgelaufen ist und
•	die seit der Vorverhandlung keine Kapazitätsänderung vorgenommen haben.
Grundlage ist der Rahmenvertrag nach § 75 Abs.1 SGB XI zur Kurzzeitpflege im Freistaat 
Sachsen.
Es sind außerdem die Anforderungen nach dem SächsWTG und der SächsWTVO zu beachten.
Das vereinfachte Verfahren kann grundsätzlich nur einmal angewendet werden. Ungeachtet 
dessen erklären sich die Kostenträger bereit, auch über ein weiteres vereinfachtes Verfahren zu 
verhandeln, sofern hiermit eine entsprechende Laufzeitverlängerung der Pflegesatzvereinbarung 
verbunden wird. Bis Mitte 2027 werden die Verfahrensbeteiligten einen Vorschlag für die 
Ausgestaltung und Voraussetzungen eines solchen weiteren vereinfachten Verfahrens erarbeiten.
</t>
    </r>
    <r>
      <rPr>
        <b/>
        <sz val="11"/>
        <color theme="1"/>
        <rFont val="Arial"/>
        <family val="2"/>
      </rPr>
      <t>Basis ist die Ergebniskalkulation zur aktuell gültigen Pflegesatzvereinbarung.</t>
    </r>
    <r>
      <rPr>
        <sz val="11"/>
        <color theme="1"/>
        <rFont val="Arial"/>
        <family val="2"/>
      </rPr>
      <t xml:space="preserve"> Es handelt 
sich um eine pauschale Herangehensweise, die nicht alle individuellen Veränderungen der 
Pflegeeinrichtung seit Abschluss der gültigen Pflegesatzvereinbarung berücksichtigt. 
Die vollständig ausgefüllten Antragsunterlagen sind gemäß § 85 Abs. 2 und Abs. 3 SGB XI den 
Leistungsträgern oder deren Arbeitsgemeinschaften, auf die im Jahr vor Beginn der 
Pflegesatzverhandlungen mehr als fünf vom Hundert der Berechnungstage der Pflegeeinrichtung 
entfallen, spätestens sechs Wochen vor dem beantragten Vereinbarungszeitraum durch den 
Träger der Pflegeeinrichtung zuzusenden (siehe Adressverzeichnis). Zwischen dem 
Antragsdatum und dem Laufzeitbeginn können maximal 4 Monate liegen. </t>
    </r>
  </si>
  <si>
    <t>1. Allgemeine Hinweise</t>
  </si>
  <si>
    <t>2.1. Allgemeine Angaben</t>
  </si>
  <si>
    <t>2.2. Kalkulation</t>
  </si>
  <si>
    <t>2.3. Bewohnervertretung</t>
  </si>
  <si>
    <t>2.4. Ergebnis</t>
  </si>
  <si>
    <t>2.5. Gesamtkalkulation</t>
  </si>
  <si>
    <t>zurück</t>
  </si>
  <si>
    <t>Sofern der KSV Sachsen nicht bereits Vertragspartei ist, erhält er immer eine Kopie der 
Allgemeinen Angaben und der Kalkulation. Werden eingereichte Antragsunterlagen korrigiert 
bzw. ergänzt, müssen die aktualisierten Antragsunterlagen rechtzeitig, in der Regel 14 Tage vor 
dem Verhandlungstermin, den beteiligten Vertragsparteien vorliegen. 
Für jede Kurzzeitpflegeeinrichtung im Sinne § 1 Abs. 6 des Rahmenvertrages mit einem 
separaten Versorgungsvertrag nach § 72 SGB XI ist eine gesonderte Aufforderung einzureichen.
Die Antragsunterlagen und die Stellungnahme der Bewohnervertretung sind rechtsverbindlich zu 
unterzeichnen. Die Antragsunterlagen sind im Excel-Format und die Unterschriftenseiten 
(Kalkulation und Bewohnervertretung) im pdf-Format per E-Mail an die zuständigen 
Vertragsparteien zu übermitteln.</t>
  </si>
  <si>
    <t>Aus Gründen der besseren Lesbarkeit wird auf die gleichzeitige Verwendung männlicher und 
weiblicher Sprachformen verzichtet. Sämtliche Personenbezeichnungen gelten gleichwohl für alle Geschlechter.</t>
  </si>
  <si>
    <t>B_PH_Hinweise</t>
  </si>
  <si>
    <t>Blatt Hinweise eingefügt</t>
  </si>
  <si>
    <t>Verknüpfungstabelle</t>
  </si>
  <si>
    <t>Erfassungstag /Änderungstag</t>
  </si>
  <si>
    <t xml:space="preserve">Platzzahl </t>
  </si>
  <si>
    <t>dav_KZP_Plätze</t>
  </si>
  <si>
    <t>IK KZP</t>
  </si>
  <si>
    <t>KZP bzw. Art KZP</t>
  </si>
  <si>
    <t>Auslastung_E</t>
  </si>
  <si>
    <t>Auslastung KZP</t>
  </si>
  <si>
    <t>VG_PDL-stellvPDL</t>
  </si>
  <si>
    <t>VG_QM</t>
  </si>
  <si>
    <t>VG_HM</t>
  </si>
  <si>
    <t>VG_PFK/BFK</t>
  </si>
  <si>
    <t>VG_PK/BK</t>
  </si>
  <si>
    <t>VG_PK/BK o.</t>
  </si>
  <si>
    <t>VG_43b</t>
  </si>
  <si>
    <t xml:space="preserve">VG_EL </t>
  </si>
  <si>
    <t>VG_HW</t>
  </si>
  <si>
    <t>VG_Küche</t>
  </si>
  <si>
    <t>VG_HT</t>
  </si>
  <si>
    <t>VG_ZDL-FSJ</t>
  </si>
  <si>
    <t>PNK (%)</t>
  </si>
  <si>
    <t>stfr.Sachbez. (%)</t>
  </si>
  <si>
    <t>Risiko/Wagnis/Gewinn-PK (%)</t>
  </si>
  <si>
    <t>Risiko/Wagnis/Gewinn-SK (%)</t>
  </si>
  <si>
    <t>SK_Lebensmittel BelTag</t>
  </si>
  <si>
    <t>SK_pfleg_ Bedarf BelTag</t>
  </si>
  <si>
    <t>SK_W/E/B BelTag</t>
  </si>
  <si>
    <t>SK_VW-Bedarf BelTag</t>
  </si>
  <si>
    <t>SK_Zentr-VW BelTag</t>
  </si>
  <si>
    <t>SK_Betreuung BelTag</t>
  </si>
  <si>
    <t>SK_Wirt-bedarf BelTag</t>
  </si>
  <si>
    <t>SK_S/A/V   BelTag</t>
  </si>
  <si>
    <t>SK_Wartung BelTag</t>
  </si>
  <si>
    <t>SK_Sonstiges BelTag</t>
  </si>
  <si>
    <t>FL_Küche BelTag</t>
  </si>
  <si>
    <t>FL_Wäscherei BelTag</t>
  </si>
  <si>
    <t>FL_Wäschekennz_BelTag</t>
  </si>
  <si>
    <t>FL_Reinigung BelTag</t>
  </si>
  <si>
    <t>FL_Zentrale Verwaltung BelTag</t>
  </si>
  <si>
    <t>FL_Haustechnik BelTag</t>
  </si>
  <si>
    <t>FL_Sonstiges_HW_HT BelTag</t>
  </si>
  <si>
    <t>FL_Sonstiges BelTag</t>
  </si>
  <si>
    <t>VE_PS_PG1</t>
  </si>
  <si>
    <t>VE_PS_PG2</t>
  </si>
  <si>
    <t>VE_PS_PG3</t>
  </si>
  <si>
    <t>VE_PS_PG4</t>
  </si>
  <si>
    <t>VE_PS_PG5</t>
  </si>
  <si>
    <t>VE_EEE</t>
  </si>
  <si>
    <t>VE_U</t>
  </si>
  <si>
    <t>VE_V</t>
  </si>
  <si>
    <t>VE_FK</t>
  </si>
  <si>
    <t>VE-Beginn</t>
  </si>
  <si>
    <t>VE-Ende</t>
  </si>
  <si>
    <t>Verhandlungs-verfahren</t>
  </si>
  <si>
    <t>VE_PS_PG1-5_KZP</t>
  </si>
  <si>
    <t>VE_U_KZP</t>
  </si>
  <si>
    <t>VE_V_KZP</t>
  </si>
  <si>
    <t>Auslastung_12_Mon_Erf</t>
  </si>
  <si>
    <t>Bel_PG1</t>
  </si>
  <si>
    <t>Bel_PG2</t>
  </si>
  <si>
    <t>Bel_PG3</t>
  </si>
  <si>
    <t>Bel_PG4</t>
  </si>
  <si>
    <t>Bel_PG5</t>
  </si>
  <si>
    <t>VK_PDL-stellvPDL</t>
  </si>
  <si>
    <t>VK_QM</t>
  </si>
  <si>
    <t>VK_HM</t>
  </si>
  <si>
    <t xml:space="preserve">VK_PFK/BFK </t>
  </si>
  <si>
    <t>VK_PK/BK</t>
  </si>
  <si>
    <t>VK_PK/BK_o.</t>
  </si>
  <si>
    <t>ANT_PFK_zu113c(1)3</t>
  </si>
  <si>
    <t>ANT_PK/BK_zu113c(1)2</t>
  </si>
  <si>
    <t>ANT_PK/BK o._zu113c(1)1</t>
  </si>
  <si>
    <t>PR_L/V</t>
  </si>
  <si>
    <t>PR_Hauswirtschaft</t>
  </si>
  <si>
    <t>PR_Küche</t>
  </si>
  <si>
    <t>PR_Haustechnik</t>
  </si>
  <si>
    <t>Anz_BFD/FSJ</t>
  </si>
  <si>
    <t>unmittelbare Tarifbindung</t>
  </si>
  <si>
    <t>Entlohng nach</t>
  </si>
  <si>
    <t>Tarif</t>
  </si>
  <si>
    <t>STD_VG_PFK/BFK</t>
  </si>
  <si>
    <t>STD_VG_PK/BK</t>
  </si>
  <si>
    <t>STD_VG_PK/BK_o.</t>
  </si>
  <si>
    <t>STD_VG_einr.ind.Egniveau_Erf</t>
  </si>
  <si>
    <t>VK_PFK/BFK_GVWG</t>
  </si>
  <si>
    <t>VK_PK/BK_GVWG</t>
  </si>
  <si>
    <t>VK_PK/BK_o._GVWG</t>
  </si>
  <si>
    <t>GES_VG_PFK/BFK</t>
  </si>
  <si>
    <t>GES_VG_PK/BK</t>
  </si>
  <si>
    <t>GES_VG_PK/BK_o.</t>
  </si>
  <si>
    <t>VWBUD_PROZENT</t>
  </si>
  <si>
    <t>VWBUD_BETRAG</t>
  </si>
  <si>
    <t>VWBUD_AUFSCHLAG</t>
  </si>
  <si>
    <t>VWBUD_AUFSCHLAG_BETRAG</t>
  </si>
  <si>
    <t>VWBUD_N_AUSG_STELLENANT</t>
  </si>
  <si>
    <t>VWBUD_PK_JE_VK</t>
  </si>
  <si>
    <t>VWBUD_ERGEBNIS_BelT</t>
  </si>
  <si>
    <t>VK_EL</t>
  </si>
  <si>
    <t>PLATZHALTER</t>
  </si>
  <si>
    <t>ANT_PFK_zu113c(1)3 VOR</t>
  </si>
  <si>
    <t>ANT_PK/BK_zu113c(1)3 VOR</t>
  </si>
  <si>
    <t>ANT_PK/BKo._zu113c(1)3 VOR</t>
  </si>
  <si>
    <t>VK_PFK/BFK_PG1</t>
  </si>
  <si>
    <t>VK_PFK/BFK_PG2</t>
  </si>
  <si>
    <t>VK_PFK/BFK_PG3</t>
  </si>
  <si>
    <t>VK_PFK/BFK_PG4</t>
  </si>
  <si>
    <t>VK_PFK/BFK_PG5</t>
  </si>
  <si>
    <t>VK_PK/BK_PG1</t>
  </si>
  <si>
    <t>VK_PK/BK_PG2</t>
  </si>
  <si>
    <t>VK_PK/BK_PG3</t>
  </si>
  <si>
    <t>VK_PK/BK_PG4</t>
  </si>
  <si>
    <t>VK_PK/BK_PG5</t>
  </si>
  <si>
    <t>VK_PK/BK o._PG1</t>
  </si>
  <si>
    <t>VK_PK/BK o._PG2</t>
  </si>
  <si>
    <t>VK_PK/BK o._PG3</t>
  </si>
  <si>
    <t>VK_PK/BK o._PG4</t>
  </si>
  <si>
    <t>VK_PK/BK o._PG5</t>
  </si>
  <si>
    <t>Veränderung PK-Budget (gesamt - inkl. FSJ/BufDi)</t>
  </si>
  <si>
    <t>Veränderung drchn PK €/VK (ohne FSJ/BufDi)</t>
  </si>
  <si>
    <t>Veränderung SK</t>
  </si>
  <si>
    <t>Veränderung FL</t>
  </si>
  <si>
    <t>VG_Pflege/Betreuung</t>
  </si>
  <si>
    <t>VG_Leitung/Verwaltung</t>
  </si>
  <si>
    <t>VG_HW, Kü, HAT</t>
  </si>
  <si>
    <t>PR_PDL/stellv. PDL</t>
  </si>
  <si>
    <t>PR_Pflege / Betreuung</t>
  </si>
  <si>
    <t>PR_HW, Kü, HAT</t>
  </si>
  <si>
    <t>solitär</t>
  </si>
  <si>
    <t>entfällt</t>
  </si>
  <si>
    <t>gibt es für die KZP- jedoch nicht mehr für vst. (VW-Budget)</t>
  </si>
  <si>
    <t>entfällt in KZP</t>
  </si>
  <si>
    <t>gibt es im PH nicht mehr, VW-Budget</t>
  </si>
  <si>
    <t xml:space="preserve">entfällt </t>
  </si>
  <si>
    <t>nicht mehr relevant</t>
  </si>
  <si>
    <t>Berichtspflicht für KZP generell nicht relevant</t>
  </si>
  <si>
    <t>Frage 1</t>
  </si>
  <si>
    <r>
      <t xml:space="preserve">im Bvgl. gleiche Platzzahl von KZP erfasst? </t>
    </r>
    <r>
      <rPr>
        <sz val="11"/>
        <color rgb="FFFF0000"/>
        <rFont val="Arial"/>
        <family val="2"/>
      </rPr>
      <t>JA</t>
    </r>
  </si>
  <si>
    <t>in KZP PR (Spalte DV)</t>
  </si>
  <si>
    <t>für KZP Zusammenfassung zu einer PR siehe Spalte DY</t>
  </si>
  <si>
    <t>Frage 2</t>
  </si>
  <si>
    <t>der Antrag differenziert nicht nach solitär noch nach angebunden, diese müsste manuell erfasst werden</t>
  </si>
  <si>
    <t>Frage 3</t>
  </si>
  <si>
    <r>
      <t xml:space="preserve">soll die Auslastung v. der KZP in F und gleichzeitig in G im Antrag und im Bvgl. In Spalte IB und IC gleich erfasst werden? Oder reicht im Antrag Spalte F und im BVgl. Spalte IB? </t>
    </r>
    <r>
      <rPr>
        <sz val="11"/>
        <color rgb="FFFF0000"/>
        <rFont val="Arial"/>
        <family val="2"/>
      </rPr>
      <t>JA</t>
    </r>
  </si>
  <si>
    <t>Frage 4</t>
  </si>
  <si>
    <r>
      <t>soll die U + V doppelt im Bvgl. Erfasst werden in Spalte JR + JS (wäre Spalte AV,AW im Antrag) und dann im BVgl. In Spalte JY + JZ (im Antrag = BC + BD) -</t>
    </r>
    <r>
      <rPr>
        <sz val="11"/>
        <color rgb="FFFF0000"/>
        <rFont val="Arial"/>
        <family val="2"/>
      </rPr>
      <t xml:space="preserve"> JA und zusätzlich PG1-5 = jeweils gleicher Psatz für KZP</t>
    </r>
  </si>
  <si>
    <t>Abstimmung mit Astrid 17.09.2026</t>
  </si>
  <si>
    <t>Verknüpfung BV in Zeile 8 komplett eingearbeitet</t>
  </si>
  <si>
    <t>B_PH_Ergebnis</t>
  </si>
  <si>
    <t>damit Eintragung Verhandlungsführer ermöglicht wird</t>
  </si>
  <si>
    <t>kein Absprung mehr zum Blatt B_PH_Berechnung rüE</t>
  </si>
  <si>
    <t>H-N72 gesperrt und Link entfernt</t>
  </si>
  <si>
    <t>entfernt: ='B_KZP_Berechnung rüE'!C35</t>
  </si>
  <si>
    <t>entfernt: ='B_KZP_Berechnung rüE'!E35</t>
  </si>
  <si>
    <t>entfernt: ='B_KZP_Berechnung rüE'!D35</t>
  </si>
  <si>
    <t>entfernt: ='B_KZP_Berechnung rüE'!C41</t>
  </si>
  <si>
    <t>entfernt: ='B_KZP_Berechnung rüE'!C37</t>
  </si>
  <si>
    <t>entfernt: ='B_KZP_Berechnung rüE'!D37</t>
  </si>
  <si>
    <t>entfernt: ='B_KZP_Berechnung rüE'!E37</t>
  </si>
  <si>
    <t>entfernt: ='B_KZP_Berechnung rüE'!C43</t>
  </si>
  <si>
    <t>entfernt: ='B_KZP_Berechnung rüE'!D43</t>
  </si>
  <si>
    <t>entfernt: ='B_KZP_Berechnung rüE'!E43</t>
  </si>
  <si>
    <t xml:space="preserve">enfällt </t>
  </si>
  <si>
    <t>B73 gelb eingefärbt, Schutz aufgehoben</t>
  </si>
  <si>
    <t>in KZP zusammengefasst PR (Spalte DW)</t>
  </si>
  <si>
    <t>aber gibt es in KZP weiterhin</t>
  </si>
  <si>
    <t>Pflegekassen:</t>
  </si>
  <si>
    <t>Gesamtkosten</t>
  </si>
  <si>
    <t>Gesamtkosten o. 43 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</si>
</sst>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2">
    <numFmt numFmtId="6" formatCode="#,##0\ &quot;€&quot;;[Red]\-#,##0\ &quot;€&quot;"/>
    <numFmt numFmtId="44" formatCode="_-* #,##0.00\ &quot;€&quot;_-;\-* #,##0.00\ &quot;€&quot;_-;_-* &quot;-&quot;??\ &quot;€&quot;_-;_-@_-"/>
    <numFmt numFmtId="164" formatCode="#,##0.00\ &quot;€&quot;"/>
    <numFmt numFmtId="165" formatCode="0.000"/>
    <numFmt numFmtId="166" formatCode="#,##0.00\ _€"/>
    <numFmt numFmtId="167" formatCode="0\ &quot;%&quot;"/>
    <numFmt numFmtId="168" formatCode="#,##0.000\ &quot;€&quot;"/>
    <numFmt numFmtId="169" formatCode="#,##0.0000"/>
    <numFmt numFmtId="170" formatCode="0.0\ %"/>
    <numFmt numFmtId="171" formatCode="#,##0.000"/>
    <numFmt numFmtId="172" formatCode="&quot;1 :&quot;\ 0.00"/>
    <numFmt numFmtId="173" formatCode="\ 0\ &quot;Stelle/n&quot;"/>
    <numFmt numFmtId="174" formatCode="#,##0.00\ &quot;€&quot;&quot;/VK&quot;"/>
    <numFmt numFmtId="175" formatCode="#,##0.00\ &quot;€&quot;&quot;/Stelle&quot;"/>
    <numFmt numFmtId="176" formatCode="#,###"/>
    <numFmt numFmtId="177" formatCode="0.000%"/>
    <numFmt numFmtId="178" formatCode="&quot;Einrichtung:&quot;\ 0"/>
    <numFmt numFmtId="179" formatCode="_-* #,##0.00\ _€_-;\-* #,##0.00\ _€_-;_-* &quot;-&quot;??\ _€_-;_-@_-"/>
    <numFmt numFmtId="180" formatCode="_-* #,##0.000\ &quot;€&quot;_-;\-* #,##0.000\ &quot;€&quot;_-;_-* &quot;-&quot;???\ &quot;€&quot;_-;_-@_-"/>
    <numFmt numFmtId="181" formatCode="_-\ #,##0.00\ &quot;€/VK&quot;"/>
    <numFmt numFmtId="182" formatCode="0.000%&quot;*&quot;"/>
    <numFmt numFmtId="183" formatCode="0.0%"/>
    <numFmt numFmtId="184" formatCode="&quot;rund&quot;\ #,##0.00\ &quot;€&quot;"/>
    <numFmt numFmtId="185" formatCode="0.00\ &quot;€/Tag&quot;"/>
    <numFmt numFmtId="186" formatCode="0&quot;%&quot;"/>
    <numFmt numFmtId="187" formatCode="0\ &quot;Kalendermonate:&quot;"/>
    <numFmt numFmtId="188" formatCode="_-* #,##0.00\ &quot;€&quot;_-;\-* #,##0.00\ &quot;€&quot;_-;_-* &quot;-&quot;???\ &quot;€&quot;_-;_-@_-"/>
    <numFmt numFmtId="189" formatCode="0.0000"/>
    <numFmt numFmtId="190" formatCode="#,##0.0000\ &quot;VK&quot;"/>
    <numFmt numFmtId="191" formatCode="000\ \ 000\ \ 000"/>
    <numFmt numFmtId="192" formatCode="#,##0.00\ &quot;%&quot;"/>
    <numFmt numFmtId="193" formatCode="0.00000"/>
  </numFmts>
  <fonts count="138" x14ac:knownFonts="1">
    <font>
      <sz val="11"/>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1"/>
      <color theme="1"/>
      <name val="Arial"/>
      <family val="2"/>
    </font>
    <font>
      <sz val="11"/>
      <color rgb="FFFF0000"/>
      <name val="Arial"/>
      <family val="2"/>
    </font>
    <font>
      <b/>
      <sz val="11"/>
      <color theme="1"/>
      <name val="Arial"/>
      <family val="2"/>
    </font>
    <font>
      <b/>
      <sz val="11"/>
      <name val="Arial"/>
      <family val="2"/>
    </font>
    <font>
      <sz val="11"/>
      <name val="Arial"/>
      <family val="2"/>
    </font>
    <font>
      <b/>
      <sz val="10"/>
      <color theme="1"/>
      <name val="Arial"/>
      <family val="2"/>
    </font>
    <font>
      <b/>
      <sz val="10"/>
      <name val="Arial"/>
      <family val="2"/>
    </font>
    <font>
      <sz val="8"/>
      <color rgb="FFFF0000"/>
      <name val="Arial"/>
      <family val="2"/>
    </font>
    <font>
      <sz val="8"/>
      <color theme="0"/>
      <name val="Arial"/>
      <family val="2"/>
    </font>
    <font>
      <sz val="11"/>
      <color theme="3" tint="-0.249977111117893"/>
      <name val="Arial"/>
      <family val="2"/>
    </font>
    <font>
      <sz val="10"/>
      <color rgb="FFFF0000"/>
      <name val="Arial"/>
      <family val="2"/>
    </font>
    <font>
      <sz val="10"/>
      <name val="Arial"/>
      <family val="2"/>
    </font>
    <font>
      <sz val="8"/>
      <name val="Arial"/>
      <family val="2"/>
    </font>
    <font>
      <u/>
      <sz val="10"/>
      <color indexed="12"/>
      <name val="Arial"/>
      <family val="2"/>
    </font>
    <font>
      <sz val="11"/>
      <color theme="5" tint="-0.499984740745262"/>
      <name val="Arial"/>
      <family val="2"/>
    </font>
    <font>
      <sz val="10"/>
      <color rgb="FF0070C0"/>
      <name val="Arial"/>
      <family val="2"/>
    </font>
    <font>
      <b/>
      <sz val="10"/>
      <color rgb="FFFF0000"/>
      <name val="Arial"/>
      <family val="2"/>
    </font>
    <font>
      <sz val="11"/>
      <color rgb="FF7030A0"/>
      <name val="Arial"/>
      <family val="2"/>
    </font>
    <font>
      <sz val="11"/>
      <color theme="9" tint="-0.499984740745262"/>
      <name val="Arial"/>
      <family val="2"/>
    </font>
    <font>
      <sz val="10"/>
      <color rgb="FF7030A0"/>
      <name val="Arial"/>
      <family val="2"/>
    </font>
    <font>
      <sz val="11"/>
      <color rgb="FF0070C0"/>
      <name val="Arial"/>
      <family val="2"/>
    </font>
    <font>
      <sz val="8"/>
      <color theme="1"/>
      <name val="Arial"/>
      <family val="2"/>
    </font>
    <font>
      <sz val="11"/>
      <color rgb="FFC00000"/>
      <name val="Arial"/>
      <family val="2"/>
    </font>
    <font>
      <b/>
      <sz val="12"/>
      <name val="Arial"/>
      <family val="2"/>
    </font>
    <font>
      <sz val="9"/>
      <name val="Arial"/>
      <family val="2"/>
    </font>
    <font>
      <sz val="11"/>
      <color rgb="FF92D050"/>
      <name val="Arial"/>
      <family val="2"/>
    </font>
    <font>
      <sz val="9"/>
      <color theme="1"/>
      <name val="Arial"/>
      <family val="2"/>
    </font>
    <font>
      <b/>
      <u/>
      <sz val="12"/>
      <name val="Arial"/>
      <family val="2"/>
    </font>
    <font>
      <b/>
      <sz val="12"/>
      <color theme="1"/>
      <name val="Arial"/>
      <family val="2"/>
    </font>
    <font>
      <sz val="12"/>
      <color theme="1"/>
      <name val="Arial"/>
      <family val="2"/>
    </font>
    <font>
      <sz val="12"/>
      <name val="Arial"/>
      <family val="2"/>
    </font>
    <font>
      <sz val="12"/>
      <color theme="3" tint="-0.249977111117893"/>
      <name val="Arial"/>
      <family val="2"/>
    </font>
    <font>
      <sz val="14"/>
      <name val="Arial"/>
      <family val="2"/>
    </font>
    <font>
      <sz val="48"/>
      <name val="Arial"/>
      <family val="2"/>
    </font>
    <font>
      <u/>
      <sz val="11"/>
      <color theme="1"/>
      <name val="Arial"/>
      <family val="2"/>
    </font>
    <font>
      <sz val="11"/>
      <color rgb="FF00B0F0"/>
      <name val="Arial"/>
      <family val="2"/>
    </font>
    <font>
      <sz val="10"/>
      <color rgb="FF00B0F0"/>
      <name val="Arial"/>
      <family val="2"/>
    </font>
    <font>
      <sz val="10"/>
      <color theme="3"/>
      <name val="Arial"/>
      <family val="2"/>
    </font>
    <font>
      <b/>
      <i/>
      <sz val="10"/>
      <color theme="1"/>
      <name val="Arial"/>
      <family val="2"/>
    </font>
    <font>
      <sz val="11"/>
      <color theme="6"/>
      <name val="Arial"/>
      <family val="2"/>
    </font>
    <font>
      <sz val="10"/>
      <color theme="6"/>
      <name val="Arial"/>
      <family val="2"/>
    </font>
    <font>
      <b/>
      <sz val="10"/>
      <color theme="6"/>
      <name val="Arial"/>
      <family val="2"/>
    </font>
    <font>
      <b/>
      <sz val="10"/>
      <color theme="0"/>
      <name val="Arial"/>
      <family val="2"/>
    </font>
    <font>
      <sz val="11"/>
      <color rgb="FFFFC000"/>
      <name val="Arial"/>
      <family val="2"/>
    </font>
    <font>
      <sz val="11"/>
      <color theme="9" tint="-0.249977111117893"/>
      <name val="Arial"/>
      <family val="2"/>
    </font>
    <font>
      <sz val="10"/>
      <color theme="9" tint="-0.249977111117893"/>
      <name val="Arial"/>
      <family val="2"/>
    </font>
    <font>
      <u/>
      <sz val="10"/>
      <color rgb="FFFF0000"/>
      <name val="Arial"/>
      <family val="2"/>
    </font>
    <font>
      <b/>
      <i/>
      <sz val="11"/>
      <color theme="1"/>
      <name val="Arial"/>
      <family val="2"/>
    </font>
    <font>
      <sz val="11"/>
      <color rgb="FFFF33CC"/>
      <name val="Arial"/>
      <family val="2"/>
    </font>
    <font>
      <sz val="10"/>
      <color rgb="FFFF33CC"/>
      <name val="Arial"/>
      <family val="2"/>
    </font>
    <font>
      <sz val="9"/>
      <color rgb="FFFF33CC"/>
      <name val="Arial"/>
      <family val="2"/>
    </font>
    <font>
      <sz val="11"/>
      <color theme="7"/>
      <name val="Arial"/>
      <family val="2"/>
    </font>
    <font>
      <sz val="9"/>
      <color theme="7"/>
      <name val="Arial"/>
      <family val="2"/>
    </font>
    <font>
      <sz val="9"/>
      <color rgb="FF7030A0"/>
      <name val="Arial"/>
      <family val="2"/>
    </font>
    <font>
      <sz val="9"/>
      <color rgb="FFFF0000"/>
      <name val="Arial"/>
      <family val="2"/>
    </font>
    <font>
      <sz val="11"/>
      <color theme="0" tint="-0.34998626667073579"/>
      <name val="Arial"/>
      <family val="2"/>
    </font>
    <font>
      <b/>
      <sz val="11"/>
      <color rgb="FF0070C0"/>
      <name val="Arial"/>
      <family val="2"/>
    </font>
    <font>
      <b/>
      <sz val="11"/>
      <color rgb="FFFF0000"/>
      <name val="Arial"/>
      <family val="2"/>
    </font>
    <font>
      <sz val="10"/>
      <color theme="0" tint="-0.34998626667073579"/>
      <name val="Arial"/>
      <family val="2"/>
    </font>
    <font>
      <b/>
      <sz val="10"/>
      <color theme="0" tint="-4.9989318521683403E-2"/>
      <name val="Arial"/>
      <family val="2"/>
    </font>
    <font>
      <b/>
      <sz val="9"/>
      <color rgb="FFFF0000"/>
      <name val="Arial"/>
      <family val="2"/>
    </font>
    <font>
      <b/>
      <sz val="9"/>
      <color rgb="FF0070C0"/>
      <name val="Arial"/>
      <family val="2"/>
    </font>
    <font>
      <b/>
      <sz val="9"/>
      <color theme="3"/>
      <name val="Arial"/>
      <family val="2"/>
    </font>
    <font>
      <sz val="11"/>
      <color theme="0" tint="-0.14999847407452621"/>
      <name val="Arial"/>
      <family val="2"/>
    </font>
    <font>
      <sz val="9"/>
      <color theme="0" tint="-0.14999847407452621"/>
      <name val="Arial"/>
      <family val="2"/>
    </font>
    <font>
      <b/>
      <sz val="9"/>
      <color theme="1"/>
      <name val="Arial"/>
      <family val="2"/>
    </font>
    <font>
      <b/>
      <sz val="9"/>
      <color indexed="81"/>
      <name val="Segoe UI"/>
      <family val="2"/>
    </font>
    <font>
      <sz val="9"/>
      <color indexed="81"/>
      <name val="Segoe UI"/>
      <family val="2"/>
    </font>
    <font>
      <sz val="9"/>
      <color rgb="FF0070C0"/>
      <name val="Arial"/>
      <family val="2"/>
    </font>
    <font>
      <b/>
      <u/>
      <sz val="11"/>
      <color rgb="FFFF0000"/>
      <name val="Arial"/>
      <family val="2"/>
    </font>
    <font>
      <b/>
      <u/>
      <sz val="11"/>
      <color theme="1"/>
      <name val="Arial"/>
      <family val="2"/>
    </font>
    <font>
      <i/>
      <sz val="11"/>
      <color rgb="FFFF0000"/>
      <name val="Arial"/>
      <family val="2"/>
    </font>
    <font>
      <b/>
      <sz val="18"/>
      <color theme="0"/>
      <name val="Arial"/>
      <family val="2"/>
    </font>
    <font>
      <sz val="11"/>
      <color theme="0"/>
      <name val="Arial"/>
      <family val="2"/>
    </font>
    <font>
      <sz val="10"/>
      <color theme="0"/>
      <name val="Arial"/>
      <family val="2"/>
    </font>
    <font>
      <b/>
      <sz val="10"/>
      <color rgb="FF7030A0"/>
      <name val="Arial"/>
      <family val="2"/>
    </font>
    <font>
      <sz val="11"/>
      <color rgb="FF00B050"/>
      <name val="Arial"/>
      <family val="2"/>
    </font>
    <font>
      <b/>
      <u/>
      <sz val="9"/>
      <color theme="1"/>
      <name val="Arial"/>
      <family val="2"/>
    </font>
    <font>
      <u/>
      <sz val="10"/>
      <color theme="1"/>
      <name val="Arial"/>
      <family val="2"/>
    </font>
    <font>
      <sz val="8"/>
      <color theme="7"/>
      <name val="Arial"/>
      <family val="2"/>
    </font>
    <font>
      <b/>
      <sz val="10"/>
      <color theme="1" tint="0.499984740745262"/>
      <name val="Arial"/>
      <family val="2"/>
    </font>
    <font>
      <sz val="10"/>
      <color theme="1" tint="0.499984740745262"/>
      <name val="Arial"/>
      <family val="2"/>
    </font>
    <font>
      <u val="double"/>
      <sz val="10"/>
      <color theme="1" tint="0.499984740745262"/>
      <name val="Arial"/>
      <family val="2"/>
    </font>
    <font>
      <b/>
      <u val="double"/>
      <sz val="10"/>
      <color theme="1" tint="0.499984740745262"/>
      <name val="Arial"/>
      <family val="2"/>
    </font>
    <font>
      <sz val="7"/>
      <name val="Arial"/>
      <family val="2"/>
    </font>
    <font>
      <sz val="10"/>
      <color indexed="8"/>
      <name val="MS Sans Serif"/>
      <family val="2"/>
    </font>
    <font>
      <b/>
      <i/>
      <sz val="10"/>
      <name val="Arial"/>
      <family val="2"/>
    </font>
    <font>
      <strike/>
      <sz val="11"/>
      <color rgb="FFFF0000"/>
      <name val="Arial"/>
      <family val="2"/>
    </font>
    <font>
      <strike/>
      <sz val="11"/>
      <color theme="1"/>
      <name val="Arial"/>
      <family val="2"/>
    </font>
    <font>
      <b/>
      <sz val="11"/>
      <color rgb="FF7030A0"/>
      <name val="Arial"/>
      <family val="2"/>
    </font>
  </fonts>
  <fills count="50">
    <fill>
      <patternFill patternType="none"/>
    </fill>
    <fill>
      <patternFill patternType="gray125"/>
    </fill>
    <fill>
      <patternFill patternType="solid">
        <fgColor theme="6" tint="0.59999389629810485"/>
        <bgColor indexed="64"/>
      </patternFill>
    </fill>
    <fill>
      <patternFill patternType="solid">
        <fgColor rgb="FFFFFF99"/>
        <bgColor indexed="64"/>
      </patternFill>
    </fill>
    <fill>
      <patternFill patternType="solid">
        <fgColor indexed="43"/>
        <bgColor indexed="64"/>
      </patternFill>
    </fill>
    <fill>
      <patternFill patternType="solid">
        <fgColor indexed="22"/>
        <bgColor indexed="64"/>
      </patternFill>
    </fill>
    <fill>
      <patternFill patternType="solid">
        <fgColor theme="0"/>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FFFF66"/>
        <bgColor indexed="64"/>
      </patternFill>
    </fill>
    <fill>
      <patternFill patternType="solid">
        <fgColor theme="5" tint="0.79998168889431442"/>
        <bgColor indexed="64"/>
      </patternFill>
    </fill>
    <fill>
      <patternFill patternType="solid">
        <fgColor rgb="FFFDECD9"/>
        <bgColor indexed="64"/>
      </patternFill>
    </fill>
    <fill>
      <patternFill patternType="solid">
        <fgColor theme="4" tint="0.59999389629810485"/>
        <bgColor indexed="65"/>
      </patternFill>
    </fill>
    <fill>
      <patternFill patternType="solid">
        <fgColor theme="6" tint="0.59999389629810485"/>
        <bgColor indexed="65"/>
      </patternFill>
    </fill>
    <fill>
      <patternFill patternType="solid">
        <fgColor theme="0" tint="-0.14999847407452621"/>
        <bgColor indexed="64"/>
      </patternFill>
    </fill>
    <fill>
      <patternFill patternType="solid">
        <fgColor theme="5" tint="0.59999389629810485"/>
        <bgColor indexed="64"/>
      </patternFill>
    </fill>
    <fill>
      <patternFill patternType="solid">
        <fgColor theme="0" tint="-0.249977111117893"/>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CCECFF"/>
        <bgColor indexed="64"/>
      </patternFill>
    </fill>
    <fill>
      <patternFill patternType="solid">
        <fgColor theme="6" tint="0.79998168889431442"/>
        <bgColor indexed="64"/>
      </patternFill>
    </fill>
    <fill>
      <patternFill patternType="solid">
        <fgColor theme="3" tint="0.59999389629810485"/>
        <bgColor indexed="64"/>
      </patternFill>
    </fill>
    <fill>
      <patternFill patternType="solid">
        <fgColor theme="9" tint="0.39997558519241921"/>
        <bgColor indexed="64"/>
      </patternFill>
    </fill>
    <fill>
      <patternFill patternType="solid">
        <fgColor theme="0" tint="-0.34998626667073579"/>
        <bgColor indexed="64"/>
      </patternFill>
    </fill>
    <fill>
      <patternFill patternType="solid">
        <fgColor rgb="FFF2F2F2"/>
        <bgColor indexed="64"/>
      </patternFill>
    </fill>
    <fill>
      <patternFill patternType="solid">
        <fgColor theme="8" tint="0.59999389629810485"/>
        <bgColor indexed="64"/>
      </patternFill>
    </fill>
    <fill>
      <patternFill patternType="solid">
        <fgColor rgb="FFFFFFCC"/>
        <bgColor indexed="64"/>
      </patternFill>
    </fill>
    <fill>
      <patternFill patternType="solid">
        <fgColor rgb="FFFBFD95"/>
        <bgColor indexed="64"/>
      </patternFill>
    </fill>
    <fill>
      <patternFill patternType="solid">
        <fgColor indexed="47"/>
        <bgColor indexed="64"/>
      </patternFill>
    </fill>
    <fill>
      <patternFill patternType="solid">
        <fgColor rgb="FF99CCFF"/>
        <bgColor indexed="64"/>
      </patternFill>
    </fill>
    <fill>
      <patternFill patternType="solid">
        <fgColor rgb="FF00B050"/>
        <bgColor indexed="64"/>
      </patternFill>
    </fill>
    <fill>
      <patternFill patternType="solid">
        <fgColor theme="4" tint="-9.9978637043366805E-2"/>
        <bgColor indexed="64"/>
      </patternFill>
    </fill>
    <fill>
      <patternFill patternType="solid">
        <fgColor theme="7" tint="-0.249977111117893"/>
        <bgColor indexed="64"/>
      </patternFill>
    </fill>
    <fill>
      <patternFill patternType="solid">
        <fgColor rgb="FFD0CECE"/>
        <bgColor indexed="64"/>
      </patternFill>
    </fill>
    <fill>
      <patternFill patternType="solid">
        <fgColor indexed="60"/>
        <bgColor indexed="64"/>
      </patternFill>
    </fill>
    <fill>
      <patternFill patternType="solid">
        <fgColor indexed="42"/>
        <bgColor indexed="64"/>
      </patternFill>
    </fill>
    <fill>
      <patternFill patternType="solid">
        <fgColor indexed="52"/>
        <bgColor indexed="64"/>
      </patternFill>
    </fill>
    <fill>
      <patternFill patternType="solid">
        <fgColor theme="5"/>
        <bgColor indexed="64"/>
      </patternFill>
    </fill>
    <fill>
      <patternFill patternType="solid">
        <fgColor theme="7" tint="0.39997558519241921"/>
        <bgColor indexed="64"/>
      </patternFill>
    </fill>
    <fill>
      <patternFill patternType="solid">
        <fgColor indexed="53"/>
        <bgColor indexed="64"/>
      </patternFill>
    </fill>
    <fill>
      <patternFill patternType="solid">
        <fgColor rgb="FF99CC00"/>
        <bgColor indexed="64"/>
      </patternFill>
    </fill>
    <fill>
      <patternFill patternType="solid">
        <fgColor indexed="50"/>
        <bgColor indexed="64"/>
      </patternFill>
    </fill>
    <fill>
      <patternFill patternType="solid">
        <fgColor indexed="46"/>
        <bgColor indexed="64"/>
      </patternFill>
    </fill>
    <fill>
      <patternFill patternType="solid">
        <fgColor theme="4" tint="-0.249977111117893"/>
        <bgColor indexed="64"/>
      </patternFill>
    </fill>
    <fill>
      <patternFill patternType="solid">
        <fgColor rgb="FFFFCCFF"/>
        <bgColor indexed="64"/>
      </patternFill>
    </fill>
    <fill>
      <patternFill patternType="solid">
        <fgColor rgb="FFC00000"/>
        <bgColor indexed="64"/>
      </patternFill>
    </fill>
    <fill>
      <patternFill patternType="solid">
        <fgColor theme="7" tint="0.59999389629810485"/>
        <bgColor indexed="64"/>
      </patternFill>
    </fill>
    <fill>
      <patternFill patternType="solid">
        <fgColor rgb="FFFF0000"/>
        <bgColor indexed="64"/>
      </patternFill>
    </fill>
    <fill>
      <patternFill patternType="solid">
        <fgColor rgb="FFFFF4CA"/>
        <bgColor indexed="64"/>
      </patternFill>
    </fill>
    <fill>
      <patternFill patternType="solid">
        <fgColor rgb="FFDEC8EE"/>
        <bgColor indexed="64"/>
      </patternFill>
    </fill>
  </fills>
  <borders count="9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dotted">
        <color theme="0" tint="-0.499984740745262"/>
      </bottom>
      <diagonal/>
    </border>
    <border>
      <left/>
      <right/>
      <top/>
      <bottom style="dotted">
        <color theme="0" tint="-0.499984740745262"/>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double">
        <color indexed="64"/>
      </bottom>
      <diagonal/>
    </border>
    <border>
      <left style="thin">
        <color indexed="64"/>
      </left>
      <right/>
      <top/>
      <bottom style="dashDotDot">
        <color indexed="64"/>
      </bottom>
      <diagonal/>
    </border>
    <border>
      <left/>
      <right/>
      <top/>
      <bottom style="dashDotDot">
        <color indexed="64"/>
      </bottom>
      <diagonal/>
    </border>
    <border>
      <left/>
      <right style="thin">
        <color indexed="64"/>
      </right>
      <top/>
      <bottom style="dashDotDot">
        <color indexed="64"/>
      </bottom>
      <diagonal/>
    </border>
    <border>
      <left/>
      <right style="medium">
        <color indexed="64"/>
      </right>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auto="1"/>
      </left>
      <right style="medium">
        <color auto="1"/>
      </right>
      <top style="medium">
        <color auto="1"/>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double">
        <color indexed="64"/>
      </bottom>
      <diagonal/>
    </border>
    <border>
      <left/>
      <right/>
      <top/>
      <bottom style="dotted">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right style="thin">
        <color indexed="64"/>
      </right>
      <top style="thin">
        <color indexed="64"/>
      </top>
      <bottom style="double">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style="medium">
        <color auto="1"/>
      </left>
      <right style="medium">
        <color auto="1"/>
      </right>
      <top style="medium">
        <color auto="1"/>
      </top>
      <bottom style="double">
        <color indexed="64"/>
      </bottom>
      <diagonal/>
    </border>
    <border>
      <left/>
      <right/>
      <top style="double">
        <color indexed="64"/>
      </top>
      <bottom/>
      <diagonal/>
    </border>
    <border>
      <left style="thin">
        <color indexed="64"/>
      </left>
      <right style="thin">
        <color indexed="64"/>
      </right>
      <top style="thin">
        <color indexed="64"/>
      </top>
      <bottom style="thin">
        <color theme="1" tint="0.499984740745262"/>
      </bottom>
      <diagonal/>
    </border>
    <border>
      <left style="thin">
        <color indexed="64"/>
      </left>
      <right/>
      <top style="thin">
        <color indexed="64"/>
      </top>
      <bottom style="thin">
        <color theme="1" tint="0.499984740745262"/>
      </bottom>
      <diagonal/>
    </border>
    <border>
      <left style="thin">
        <color indexed="64"/>
      </left>
      <right/>
      <top style="thin">
        <color theme="1" tint="0.499984740745262"/>
      </top>
      <bottom style="thin">
        <color theme="1" tint="0.499984740745262"/>
      </bottom>
      <diagonal/>
    </border>
    <border>
      <left style="thin">
        <color indexed="64"/>
      </left>
      <right/>
      <top/>
      <bottom style="thin">
        <color theme="1" tint="0.499984740745262"/>
      </bottom>
      <diagonal/>
    </border>
    <border>
      <left/>
      <right/>
      <top/>
      <bottom style="thin">
        <color theme="1" tint="0.499984740745262"/>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bottom/>
      <diagonal/>
    </border>
    <border>
      <left style="thin">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thin">
        <color indexed="64"/>
      </left>
      <right style="thin">
        <color indexed="64"/>
      </right>
      <top style="thin">
        <color theme="1" tint="0.499984740745262"/>
      </top>
      <bottom style="thin">
        <color theme="1" tint="0.499984740745262"/>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thin">
        <color theme="0" tint="-0.14996795556505021"/>
      </bottom>
      <diagonal/>
    </border>
    <border>
      <left style="thin">
        <color indexed="8"/>
      </left>
      <right/>
      <top style="thin">
        <color indexed="8"/>
      </top>
      <bottom style="thin">
        <color theme="4" tint="0.39997558519241921"/>
      </bottom>
      <diagonal/>
    </border>
    <border>
      <left style="thin">
        <color theme="9"/>
      </left>
      <right/>
      <top style="thin">
        <color indexed="8"/>
      </top>
      <bottom style="thin">
        <color theme="4" tint="0.39997558519241921"/>
      </bottom>
      <diagonal/>
    </border>
    <border>
      <left style="thin">
        <color indexed="64"/>
      </left>
      <right/>
      <top style="thin">
        <color indexed="8"/>
      </top>
      <bottom style="thin">
        <color theme="4" tint="0.39997558519241921"/>
      </bottom>
      <diagonal/>
    </border>
    <border>
      <left style="thin">
        <color theme="0" tint="-0.34998626667073579"/>
      </left>
      <right style="thin">
        <color theme="0" tint="-0.34998626667073579"/>
      </right>
      <top style="thin">
        <color indexed="64"/>
      </top>
      <bottom style="thin">
        <color theme="0" tint="-0.34998626667073579"/>
      </bottom>
      <diagonal/>
    </border>
    <border>
      <left/>
      <right/>
      <top style="thin">
        <color indexed="8"/>
      </top>
      <bottom style="thin">
        <color theme="4" tint="0.39997558519241921"/>
      </bottom>
      <diagonal/>
    </border>
    <border>
      <left style="thin">
        <color indexed="64"/>
      </left>
      <right/>
      <top style="thin">
        <color indexed="64"/>
      </top>
      <bottom style="thin">
        <color theme="4" tint="0.39997558519241921"/>
      </bottom>
      <diagonal/>
    </border>
    <border>
      <left style="thin">
        <color indexed="64"/>
      </left>
      <right/>
      <top style="thin">
        <color theme="4" tint="0.39997558519241921"/>
      </top>
      <bottom style="thin">
        <color theme="4" tint="0.39997558519241921"/>
      </bottom>
      <diagonal/>
    </border>
    <border>
      <left style="thin">
        <color indexed="64"/>
      </left>
      <right/>
      <top/>
      <bottom style="thin">
        <color theme="4" tint="0.39997558519241921"/>
      </bottom>
      <diagonal/>
    </border>
    <border>
      <left style="thin">
        <color indexed="8"/>
      </left>
      <right/>
      <top style="thin">
        <color theme="9"/>
      </top>
      <bottom style="thin">
        <color theme="4" tint="0.39997558519241921"/>
      </bottom>
      <diagonal/>
    </border>
    <border>
      <left style="thin">
        <color auto="1"/>
      </left>
      <right style="thin">
        <color auto="1"/>
      </right>
      <top style="thin">
        <color theme="4" tint="0.39997558519241921"/>
      </top>
      <bottom style="thin">
        <color theme="0" tint="-0.34998626667073579"/>
      </bottom>
      <diagonal/>
    </border>
    <border>
      <left/>
      <right/>
      <top/>
      <bottom style="thin">
        <color theme="4" tint="0.39997558519241921"/>
      </bottom>
      <diagonal/>
    </border>
  </borders>
  <cellStyleXfs count="20">
    <xf numFmtId="0" fontId="0" fillId="0" borderId="0"/>
    <xf numFmtId="0" fontId="61" fillId="0" borderId="0" applyNumberFormat="0" applyFill="0" applyBorder="0" applyAlignment="0" applyProtection="0">
      <alignment vertical="top"/>
      <protection locked="0"/>
    </xf>
    <xf numFmtId="44" fontId="48" fillId="0" borderId="0" applyFont="0" applyFill="0" applyBorder="0" applyAlignment="0" applyProtection="0"/>
    <xf numFmtId="9" fontId="48" fillId="0" borderId="0" applyFont="0" applyFill="0" applyBorder="0" applyAlignment="0" applyProtection="0"/>
    <xf numFmtId="0" fontId="48" fillId="11" borderId="45" applyNumberFormat="0" applyAlignment="0">
      <protection locked="0"/>
    </xf>
    <xf numFmtId="170" fontId="59" fillId="0" borderId="0" applyFont="0" applyFill="0" applyBorder="0" applyAlignment="0" applyProtection="0"/>
    <xf numFmtId="0" fontId="48" fillId="12" borderId="0" applyNumberFormat="0" applyFont="0" applyBorder="0" applyAlignment="0" applyProtection="0"/>
    <xf numFmtId="0" fontId="48" fillId="13" borderId="0" applyNumberFormat="0" applyFont="0" applyBorder="0" applyAlignment="0" applyProtection="0"/>
    <xf numFmtId="14" fontId="59" fillId="11" borderId="14" applyFont="0" applyFill="0" applyBorder="0" applyAlignment="0" applyProtection="0">
      <alignment vertical="center"/>
      <protection locked="0"/>
    </xf>
    <xf numFmtId="0" fontId="48" fillId="11" borderId="45" applyNumberFormat="0" applyAlignment="0">
      <protection locked="0"/>
    </xf>
    <xf numFmtId="0" fontId="52" fillId="11" borderId="14" applyNumberFormat="0" applyFont="0" applyAlignment="0">
      <protection locked="0"/>
    </xf>
    <xf numFmtId="0" fontId="59" fillId="0" borderId="0" applyNumberFormat="0" applyFont="0" applyBorder="0" applyAlignment="0"/>
    <xf numFmtId="0" fontId="59" fillId="14" borderId="0" applyNumberFormat="0" applyFont="0" applyBorder="0" applyAlignment="0" applyProtection="0"/>
    <xf numFmtId="0" fontId="59" fillId="0" borderId="0" applyBorder="0">
      <alignment vertical="center"/>
    </xf>
    <xf numFmtId="2" fontId="59" fillId="0" borderId="0" applyFont="0" applyFill="0" applyBorder="0" applyAlignment="0" applyProtection="0"/>
    <xf numFmtId="49" fontId="59" fillId="0" borderId="0" applyFont="0" applyFill="0" applyBorder="0" applyAlignment="0" applyProtection="0">
      <alignment vertical="center"/>
    </xf>
    <xf numFmtId="171" fontId="59" fillId="0" borderId="0" applyFont="0" applyFill="0" applyBorder="0" applyAlignment="0" applyProtection="0"/>
    <xf numFmtId="179" fontId="48" fillId="0" borderId="0" applyFont="0" applyFill="0" applyBorder="0" applyAlignment="0" applyProtection="0"/>
    <xf numFmtId="0" fontId="59" fillId="0" borderId="0" applyBorder="0">
      <alignment vertical="center"/>
    </xf>
    <xf numFmtId="0" fontId="133" fillId="0" borderId="0"/>
  </cellStyleXfs>
  <cellXfs count="1274">
    <xf numFmtId="0" fontId="0" fillId="0" borderId="0" xfId="0"/>
    <xf numFmtId="0" fontId="49" fillId="0" borderId="0" xfId="0" applyFont="1"/>
    <xf numFmtId="0" fontId="0" fillId="0" borderId="4" xfId="0" applyBorder="1" applyProtection="1">
      <protection hidden="1"/>
    </xf>
    <xf numFmtId="0" fontId="0" fillId="0" borderId="0" xfId="0" applyProtection="1">
      <protection hidden="1"/>
    </xf>
    <xf numFmtId="0" fontId="0" fillId="0" borderId="5" xfId="0" applyBorder="1" applyProtection="1">
      <protection hidden="1"/>
    </xf>
    <xf numFmtId="0" fontId="53" fillId="0" borderId="0" xfId="0" applyFont="1" applyProtection="1">
      <protection hidden="1"/>
    </xf>
    <xf numFmtId="0" fontId="53" fillId="0" borderId="0" xfId="0" applyFont="1" applyAlignment="1" applyProtection="1">
      <alignment horizontal="right"/>
      <protection hidden="1"/>
    </xf>
    <xf numFmtId="0" fontId="54" fillId="0" borderId="0" xfId="0" applyFont="1" applyAlignment="1" applyProtection="1">
      <alignment horizontal="center"/>
      <protection hidden="1"/>
    </xf>
    <xf numFmtId="0" fontId="55" fillId="0" borderId="0" xfId="0" applyFont="1" applyAlignment="1" applyProtection="1">
      <alignment horizontal="right"/>
      <protection hidden="1"/>
    </xf>
    <xf numFmtId="0" fontId="57" fillId="0" borderId="0" xfId="0" applyFont="1"/>
    <xf numFmtId="0" fontId="55" fillId="0" borderId="0" xfId="0" applyFont="1" applyProtection="1">
      <protection hidden="1"/>
    </xf>
    <xf numFmtId="0" fontId="47" fillId="0" borderId="0" xfId="0" applyFont="1" applyProtection="1">
      <protection hidden="1"/>
    </xf>
    <xf numFmtId="0" fontId="59" fillId="0" borderId="5" xfId="0" applyFont="1" applyBorder="1" applyProtection="1">
      <protection hidden="1"/>
    </xf>
    <xf numFmtId="0" fontId="60" fillId="0" borderId="0" xfId="0" applyFont="1" applyAlignment="1" applyProtection="1">
      <alignment vertical="top"/>
      <protection hidden="1"/>
    </xf>
    <xf numFmtId="0" fontId="60" fillId="0" borderId="5" xfId="0" applyFont="1" applyBorder="1" applyAlignment="1" applyProtection="1">
      <alignment vertical="top"/>
      <protection hidden="1"/>
    </xf>
    <xf numFmtId="0" fontId="60" fillId="0" borderId="0" xfId="0" applyFont="1" applyProtection="1">
      <protection hidden="1"/>
    </xf>
    <xf numFmtId="0" fontId="54" fillId="0" borderId="0" xfId="0" applyFont="1" applyProtection="1">
      <protection hidden="1"/>
    </xf>
    <xf numFmtId="0" fontId="47" fillId="0" borderId="0" xfId="0" applyFont="1" applyAlignment="1" applyProtection="1">
      <alignment horizontal="right"/>
      <protection hidden="1"/>
    </xf>
    <xf numFmtId="0" fontId="59" fillId="0" borderId="0" xfId="0" applyFont="1"/>
    <xf numFmtId="0" fontId="0" fillId="0" borderId="5" xfId="0" applyBorder="1"/>
    <xf numFmtId="0" fontId="0" fillId="0" borderId="4" xfId="0" applyBorder="1"/>
    <xf numFmtId="0" fontId="0" fillId="0" borderId="2" xfId="0" applyBorder="1"/>
    <xf numFmtId="0" fontId="60" fillId="0" borderId="2" xfId="0" applyFont="1" applyBorder="1" applyAlignment="1" applyProtection="1">
      <alignment horizontal="center" vertical="top"/>
      <protection hidden="1"/>
    </xf>
    <xf numFmtId="0" fontId="47" fillId="0" borderId="6" xfId="0" applyFont="1" applyBorder="1" applyProtection="1">
      <protection hidden="1"/>
    </xf>
    <xf numFmtId="0" fontId="47" fillId="0" borderId="7" xfId="0" applyFont="1" applyBorder="1" applyProtection="1">
      <protection hidden="1"/>
    </xf>
    <xf numFmtId="0" fontId="47" fillId="0" borderId="4" xfId="0" applyFont="1" applyBorder="1" applyProtection="1">
      <protection hidden="1"/>
    </xf>
    <xf numFmtId="2" fontId="59" fillId="0" borderId="7" xfId="0" applyNumberFormat="1" applyFont="1" applyBorder="1" applyProtection="1">
      <protection hidden="1"/>
    </xf>
    <xf numFmtId="0" fontId="47" fillId="0" borderId="7" xfId="0" applyFont="1" applyBorder="1" applyAlignment="1" applyProtection="1">
      <alignment horizontal="right"/>
      <protection hidden="1"/>
    </xf>
    <xf numFmtId="2" fontId="47" fillId="0" borderId="7" xfId="0" applyNumberFormat="1" applyFont="1" applyBorder="1" applyAlignment="1" applyProtection="1">
      <alignment horizontal="right"/>
      <protection hidden="1"/>
    </xf>
    <xf numFmtId="2" fontId="59" fillId="0" borderId="0" xfId="0" applyNumberFormat="1" applyFont="1" applyProtection="1">
      <protection hidden="1"/>
    </xf>
    <xf numFmtId="0" fontId="47" fillId="0" borderId="5" xfId="0" applyFont="1" applyBorder="1" applyProtection="1">
      <protection hidden="1"/>
    </xf>
    <xf numFmtId="0" fontId="0" fillId="0" borderId="4" xfId="0" applyBorder="1" applyAlignment="1" applyProtection="1">
      <alignment vertical="center"/>
      <protection hidden="1"/>
    </xf>
    <xf numFmtId="0" fontId="47" fillId="0" borderId="0" xfId="0" applyFont="1" applyAlignment="1" applyProtection="1">
      <alignment vertical="center"/>
      <protection hidden="1"/>
    </xf>
    <xf numFmtId="0" fontId="0" fillId="0" borderId="5" xfId="0" applyBorder="1" applyAlignment="1" applyProtection="1">
      <alignment vertical="center"/>
      <protection hidden="1"/>
    </xf>
    <xf numFmtId="0" fontId="0" fillId="0" borderId="0" xfId="0" applyAlignment="1" applyProtection="1">
      <alignment vertical="center"/>
      <protection hidden="1"/>
    </xf>
    <xf numFmtId="0" fontId="0" fillId="0" borderId="6" xfId="0" applyBorder="1" applyProtection="1">
      <protection hidden="1"/>
    </xf>
    <xf numFmtId="0" fontId="0" fillId="0" borderId="7" xfId="0" applyBorder="1" applyProtection="1">
      <protection hidden="1"/>
    </xf>
    <xf numFmtId="0" fontId="58" fillId="0" borderId="0" xfId="0" applyFont="1" applyProtection="1">
      <protection hidden="1"/>
    </xf>
    <xf numFmtId="0" fontId="0" fillId="2" borderId="0" xfId="0" applyFill="1" applyProtection="1">
      <protection hidden="1"/>
    </xf>
    <xf numFmtId="0" fontId="54" fillId="2" borderId="0" xfId="0" applyFont="1" applyFill="1" applyProtection="1">
      <protection hidden="1"/>
    </xf>
    <xf numFmtId="0" fontId="48" fillId="0" borderId="4" xfId="0" applyFont="1" applyBorder="1"/>
    <xf numFmtId="0" fontId="71" fillId="0" borderId="0" xfId="0" applyFont="1"/>
    <xf numFmtId="0" fontId="48" fillId="0" borderId="0" xfId="0" applyFont="1"/>
    <xf numFmtId="0" fontId="48" fillId="0" borderId="5" xfId="0" applyFont="1" applyBorder="1"/>
    <xf numFmtId="0" fontId="75" fillId="0" borderId="0" xfId="0" applyFont="1"/>
    <xf numFmtId="0" fontId="52" fillId="0" borderId="0" xfId="0" applyFont="1"/>
    <xf numFmtId="0" fontId="60" fillId="0" borderId="0" xfId="0" applyFont="1"/>
    <xf numFmtId="0" fontId="52" fillId="0" borderId="5" xfId="0" applyFont="1" applyBorder="1"/>
    <xf numFmtId="0" fontId="65" fillId="0" borderId="0" xfId="0" applyFont="1"/>
    <xf numFmtId="0" fontId="59" fillId="0" borderId="5" xfId="0" applyFont="1" applyBorder="1"/>
    <xf numFmtId="0" fontId="48" fillId="0" borderId="25" xfId="0" applyFont="1" applyBorder="1"/>
    <xf numFmtId="0" fontId="48" fillId="0" borderId="26" xfId="0" applyFont="1" applyBorder="1"/>
    <xf numFmtId="0" fontId="52" fillId="0" borderId="26" xfId="0" applyFont="1" applyBorder="1"/>
    <xf numFmtId="0" fontId="59" fillId="0" borderId="26" xfId="0" applyFont="1" applyBorder="1"/>
    <xf numFmtId="0" fontId="59" fillId="0" borderId="27" xfId="0" applyFont="1" applyBorder="1"/>
    <xf numFmtId="0" fontId="72" fillId="0" borderId="0" xfId="0" applyFont="1"/>
    <xf numFmtId="0" fontId="48" fillId="0" borderId="6" xfId="0" applyFont="1" applyBorder="1"/>
    <xf numFmtId="0" fontId="48" fillId="0" borderId="8" xfId="0" applyFont="1" applyBorder="1"/>
    <xf numFmtId="0" fontId="50" fillId="0" borderId="0" xfId="0" applyFont="1"/>
    <xf numFmtId="0" fontId="47" fillId="0" borderId="0" xfId="0" quotePrefix="1" applyFont="1" applyAlignment="1" applyProtection="1">
      <alignment horizontal="left"/>
      <protection hidden="1"/>
    </xf>
    <xf numFmtId="0" fontId="60" fillId="2" borderId="0" xfId="0" applyFont="1" applyFill="1" applyAlignment="1" applyProtection="1">
      <alignment vertical="top"/>
      <protection hidden="1"/>
    </xf>
    <xf numFmtId="0" fontId="53" fillId="2" borderId="0" xfId="0" applyFont="1" applyFill="1" applyAlignment="1" applyProtection="1">
      <alignment vertical="center"/>
      <protection hidden="1"/>
    </xf>
    <xf numFmtId="0" fontId="59" fillId="0" borderId="5" xfId="0" applyFont="1" applyBorder="1" applyAlignment="1">
      <alignment horizontal="left" vertical="top"/>
    </xf>
    <xf numFmtId="0" fontId="59" fillId="0" borderId="5" xfId="0" applyFont="1" applyBorder="1" applyAlignment="1">
      <alignment horizontal="left"/>
    </xf>
    <xf numFmtId="2" fontId="47" fillId="0" borderId="17" xfId="0" applyNumberFormat="1" applyFont="1" applyBorder="1" applyAlignment="1" applyProtection="1">
      <alignment horizontal="right"/>
      <protection hidden="1"/>
    </xf>
    <xf numFmtId="0" fontId="0" fillId="0" borderId="2" xfId="0" applyBorder="1" applyProtection="1">
      <protection hidden="1"/>
    </xf>
    <xf numFmtId="0" fontId="59" fillId="0" borderId="0" xfId="0" applyFont="1" applyAlignment="1">
      <alignment horizontal="left" vertical="top"/>
    </xf>
    <xf numFmtId="0" fontId="59" fillId="0" borderId="0" xfId="0" applyFont="1" applyAlignment="1">
      <alignment horizontal="left"/>
    </xf>
    <xf numFmtId="0" fontId="48" fillId="6" borderId="0" xfId="0" applyFont="1" applyFill="1" applyAlignment="1">
      <alignment horizontal="center"/>
    </xf>
    <xf numFmtId="0" fontId="71" fillId="0" borderId="4" xfId="0" applyFont="1" applyBorder="1"/>
    <xf numFmtId="0" fontId="71" fillId="9" borderId="15" xfId="0" applyFont="1" applyFill="1" applyBorder="1" applyAlignment="1" applyProtection="1">
      <alignment horizontal="center" vertical="center"/>
      <protection locked="0"/>
    </xf>
    <xf numFmtId="0" fontId="77" fillId="0" borderId="0" xfId="0" applyFont="1"/>
    <xf numFmtId="0" fontId="71" fillId="0" borderId="5" xfId="0" applyFont="1" applyBorder="1"/>
    <xf numFmtId="0" fontId="77" fillId="0" borderId="4" xfId="0" applyFont="1" applyBorder="1"/>
    <xf numFmtId="0" fontId="78" fillId="0" borderId="0" xfId="0" applyFont="1"/>
    <xf numFmtId="0" fontId="77" fillId="0" borderId="5" xfId="0" applyFont="1" applyBorder="1"/>
    <xf numFmtId="0" fontId="51" fillId="9" borderId="15" xfId="0" applyFont="1" applyFill="1" applyBorder="1" applyAlignment="1" applyProtection="1">
      <alignment horizontal="center" vertical="center"/>
      <protection locked="0"/>
    </xf>
    <xf numFmtId="0" fontId="78" fillId="0" borderId="5" xfId="0" applyFont="1" applyBorder="1"/>
    <xf numFmtId="0" fontId="54" fillId="9" borderId="15" xfId="0" applyFont="1" applyFill="1" applyBorder="1" applyAlignment="1" applyProtection="1">
      <alignment horizontal="center" vertical="center"/>
      <protection locked="0"/>
    </xf>
    <xf numFmtId="0" fontId="59" fillId="0" borderId="0" xfId="0" applyFont="1" applyAlignment="1">
      <alignment vertical="top"/>
    </xf>
    <xf numFmtId="0" fontId="0" fillId="0" borderId="7" xfId="0" applyBorder="1"/>
    <xf numFmtId="0" fontId="52" fillId="0" borderId="7" xfId="0" applyFont="1" applyBorder="1"/>
    <xf numFmtId="0" fontId="79" fillId="0" borderId="0" xfId="0" applyFont="1"/>
    <xf numFmtId="0" fontId="48" fillId="6" borderId="0" xfId="0" applyFont="1" applyFill="1" applyProtection="1">
      <protection hidden="1"/>
    </xf>
    <xf numFmtId="0" fontId="59" fillId="6" borderId="0" xfId="0" applyFont="1" applyFill="1" applyProtection="1">
      <protection hidden="1"/>
    </xf>
    <xf numFmtId="0" fontId="54" fillId="6" borderId="0" xfId="0" applyFont="1" applyFill="1" applyAlignment="1" applyProtection="1">
      <alignment horizontal="center"/>
      <protection hidden="1"/>
    </xf>
    <xf numFmtId="0" fontId="48" fillId="0" borderId="0" xfId="0" applyFont="1" applyProtection="1">
      <protection hidden="1"/>
    </xf>
    <xf numFmtId="0" fontId="83" fillId="0" borderId="0" xfId="0" applyFont="1"/>
    <xf numFmtId="0" fontId="84" fillId="0" borderId="0" xfId="0" applyFont="1" applyAlignment="1">
      <alignment vertical="top"/>
    </xf>
    <xf numFmtId="0" fontId="87" fillId="0" borderId="0" xfId="0" applyFont="1"/>
    <xf numFmtId="0" fontId="61" fillId="0" borderId="0" xfId="1" applyBorder="1" applyAlignment="1" applyProtection="1"/>
    <xf numFmtId="0" fontId="94" fillId="6" borderId="0" xfId="1" applyFont="1" applyFill="1" applyAlignment="1" applyProtection="1"/>
    <xf numFmtId="0" fontId="52" fillId="2" borderId="7" xfId="0" applyFont="1" applyFill="1" applyBorder="1" applyProtection="1">
      <protection hidden="1"/>
    </xf>
    <xf numFmtId="0" fontId="52" fillId="2" borderId="8" xfId="0" applyFont="1" applyFill="1" applyBorder="1" applyProtection="1">
      <protection hidden="1"/>
    </xf>
    <xf numFmtId="0" fontId="0" fillId="0" borderId="3" xfId="0" applyBorder="1"/>
    <xf numFmtId="0" fontId="0" fillId="0" borderId="18" xfId="0" applyBorder="1"/>
    <xf numFmtId="14" fontId="96" fillId="0" borderId="0" xfId="0" applyNumberFormat="1" applyFont="1"/>
    <xf numFmtId="0" fontId="0" fillId="0" borderId="14" xfId="0" applyBorder="1"/>
    <xf numFmtId="0" fontId="53" fillId="0" borderId="1" xfId="0" applyFont="1" applyBorder="1"/>
    <xf numFmtId="0" fontId="0" fillId="0" borderId="12" xfId="0" applyBorder="1"/>
    <xf numFmtId="0" fontId="0" fillId="0" borderId="13" xfId="0" applyBorder="1"/>
    <xf numFmtId="0" fontId="0" fillId="0" borderId="6" xfId="0" applyBorder="1"/>
    <xf numFmtId="0" fontId="0" fillId="14" borderId="14" xfId="0" applyFill="1" applyBorder="1"/>
    <xf numFmtId="44" fontId="0" fillId="15" borderId="18" xfId="2" applyFont="1" applyFill="1" applyBorder="1" applyProtection="1">
      <protection locked="0"/>
    </xf>
    <xf numFmtId="172" fontId="0" fillId="6" borderId="14" xfId="0" applyNumberFormat="1" applyFill="1" applyBorder="1" applyAlignment="1">
      <alignment horizontal="center"/>
    </xf>
    <xf numFmtId="44" fontId="0" fillId="16" borderId="2" xfId="2" applyFont="1" applyFill="1" applyBorder="1" applyProtection="1"/>
    <xf numFmtId="44" fontId="0" fillId="16" borderId="12" xfId="2" applyFont="1" applyFill="1" applyBorder="1" applyProtection="1"/>
    <xf numFmtId="44" fontId="53" fillId="14" borderId="32" xfId="2" applyFont="1" applyFill="1" applyBorder="1" applyAlignment="1" applyProtection="1">
      <alignment horizontal="center"/>
    </xf>
    <xf numFmtId="44" fontId="53" fillId="14" borderId="33" xfId="2" applyFont="1" applyFill="1" applyBorder="1" applyAlignment="1" applyProtection="1">
      <alignment horizontal="center"/>
    </xf>
    <xf numFmtId="0" fontId="53" fillId="6" borderId="0" xfId="0" applyFont="1" applyFill="1" applyAlignment="1">
      <alignment horizontal="center"/>
    </xf>
    <xf numFmtId="0" fontId="0" fillId="6" borderId="14" xfId="0" applyFill="1" applyBorder="1"/>
    <xf numFmtId="0" fontId="0" fillId="6" borderId="14" xfId="0" applyFill="1" applyBorder="1" applyAlignment="1">
      <alignment wrapText="1"/>
    </xf>
    <xf numFmtId="0" fontId="0" fillId="14" borderId="12" xfId="0" applyFill="1" applyBorder="1"/>
    <xf numFmtId="0" fontId="0" fillId="2" borderId="20" xfId="0" applyFill="1" applyBorder="1"/>
    <xf numFmtId="0" fontId="0" fillId="14" borderId="2" xfId="0" applyFill="1" applyBorder="1"/>
    <xf numFmtId="0" fontId="0" fillId="2" borderId="14" xfId="0" applyFill="1" applyBorder="1"/>
    <xf numFmtId="0" fontId="0" fillId="2" borderId="12" xfId="0" applyFill="1" applyBorder="1"/>
    <xf numFmtId="0" fontId="46" fillId="0" borderId="7" xfId="0" applyFont="1" applyBorder="1"/>
    <xf numFmtId="0" fontId="46" fillId="0" borderId="4" xfId="0" applyFont="1" applyBorder="1"/>
    <xf numFmtId="0" fontId="53" fillId="0" borderId="0" xfId="0" applyFont="1"/>
    <xf numFmtId="0" fontId="50" fillId="0" borderId="1" xfId="0" applyFont="1" applyBorder="1"/>
    <xf numFmtId="14" fontId="0" fillId="14" borderId="14" xfId="0" applyNumberFormat="1" applyFill="1" applyBorder="1" applyAlignment="1">
      <alignment horizontal="center"/>
    </xf>
    <xf numFmtId="0" fontId="0" fillId="2" borderId="2" xfId="0" applyFill="1" applyBorder="1"/>
    <xf numFmtId="176" fontId="0" fillId="0" borderId="18" xfId="0" applyNumberFormat="1" applyBorder="1" applyAlignment="1">
      <alignment horizontal="right"/>
    </xf>
    <xf numFmtId="0" fontId="0" fillId="0" borderId="18" xfId="0" applyBorder="1" applyAlignment="1">
      <alignment horizontal="right"/>
    </xf>
    <xf numFmtId="0" fontId="0" fillId="0" borderId="0" xfId="0" applyAlignment="1">
      <alignment horizontal="right"/>
    </xf>
    <xf numFmtId="0" fontId="45" fillId="0" borderId="0" xfId="0" applyFont="1"/>
    <xf numFmtId="0" fontId="0" fillId="6" borderId="0" xfId="0" applyFill="1"/>
    <xf numFmtId="0" fontId="0" fillId="6" borderId="5" xfId="0" applyFill="1" applyBorder="1"/>
    <xf numFmtId="0" fontId="74" fillId="0" borderId="7" xfId="0" applyFont="1" applyBorder="1"/>
    <xf numFmtId="0" fontId="45" fillId="6" borderId="0" xfId="0" applyFont="1" applyFill="1"/>
    <xf numFmtId="0" fontId="53" fillId="0" borderId="14" xfId="0" applyFont="1" applyBorder="1" applyAlignment="1">
      <alignment horizontal="center"/>
    </xf>
    <xf numFmtId="0" fontId="53" fillId="0" borderId="31" xfId="0" applyFont="1" applyBorder="1" applyAlignment="1">
      <alignment horizontal="center"/>
    </xf>
    <xf numFmtId="0" fontId="51" fillId="0" borderId="0" xfId="0" applyFont="1"/>
    <xf numFmtId="0" fontId="50" fillId="2" borderId="12" xfId="0" applyFont="1" applyFill="1" applyBorder="1"/>
    <xf numFmtId="0" fontId="0" fillId="2" borderId="18" xfId="0" applyFill="1" applyBorder="1"/>
    <xf numFmtId="0" fontId="0" fillId="0" borderId="19" xfId="0" applyBorder="1" applyAlignment="1">
      <alignment horizontal="right"/>
    </xf>
    <xf numFmtId="0" fontId="0" fillId="0" borderId="14" xfId="0" applyBorder="1" applyAlignment="1">
      <alignment horizontal="right"/>
    </xf>
    <xf numFmtId="0" fontId="0" fillId="14" borderId="13" xfId="0" applyFill="1" applyBorder="1"/>
    <xf numFmtId="0" fontId="0" fillId="6" borderId="7" xfId="0" applyFill="1" applyBorder="1"/>
    <xf numFmtId="0" fontId="74" fillId="0" borderId="0" xfId="0" applyFont="1"/>
    <xf numFmtId="0" fontId="0" fillId="6" borderId="4" xfId="0" applyFill="1" applyBorder="1"/>
    <xf numFmtId="0" fontId="0" fillId="3" borderId="0" xfId="0" applyFill="1"/>
    <xf numFmtId="0" fontId="59" fillId="0" borderId="4" xfId="0" applyFont="1" applyBorder="1"/>
    <xf numFmtId="0" fontId="54" fillId="0" borderId="0" xfId="0" applyFont="1"/>
    <xf numFmtId="2" fontId="59" fillId="0" borderId="0" xfId="0" applyNumberFormat="1" applyFont="1" applyAlignment="1">
      <alignment horizontal="right"/>
    </xf>
    <xf numFmtId="2" fontId="59" fillId="0" borderId="0" xfId="0" applyNumberFormat="1" applyFont="1" applyAlignment="1">
      <alignment horizontal="center"/>
    </xf>
    <xf numFmtId="0" fontId="47" fillId="0" borderId="4" xfId="0" applyFont="1" applyBorder="1"/>
    <xf numFmtId="0" fontId="47" fillId="0" borderId="0" xfId="0" applyFont="1"/>
    <xf numFmtId="14" fontId="47" fillId="0" borderId="0" xfId="0" applyNumberFormat="1" applyFont="1" applyAlignment="1">
      <alignment horizontal="right"/>
    </xf>
    <xf numFmtId="14" fontId="47" fillId="0" borderId="0" xfId="0" applyNumberFormat="1" applyFont="1" applyAlignment="1">
      <alignment horizontal="center" vertical="top"/>
    </xf>
    <xf numFmtId="14" fontId="47" fillId="0" borderId="0" xfId="0" applyNumberFormat="1" applyFont="1" applyAlignment="1">
      <alignment horizontal="right" vertical="top"/>
    </xf>
    <xf numFmtId="0" fontId="47" fillId="0" borderId="5" xfId="0" applyFont="1" applyBorder="1"/>
    <xf numFmtId="0" fontId="54" fillId="2" borderId="0" xfId="0" applyFont="1" applyFill="1"/>
    <xf numFmtId="0" fontId="0" fillId="2" borderId="0" xfId="0" applyFill="1"/>
    <xf numFmtId="0" fontId="60" fillId="0" borderId="2" xfId="0" applyFont="1" applyBorder="1" applyAlignment="1">
      <alignment vertical="top"/>
    </xf>
    <xf numFmtId="0" fontId="53" fillId="0" borderId="2" xfId="0" applyFont="1" applyBorder="1"/>
    <xf numFmtId="0" fontId="60" fillId="0" borderId="2" xfId="0" applyFont="1" applyBorder="1" applyAlignment="1">
      <alignment horizontal="center" vertical="top"/>
    </xf>
    <xf numFmtId="0" fontId="47" fillId="0" borderId="16" xfId="0" applyFont="1" applyBorder="1"/>
    <xf numFmtId="0" fontId="47" fillId="0" borderId="17" xfId="0" applyFont="1" applyBorder="1"/>
    <xf numFmtId="0" fontId="74" fillId="0" borderId="0" xfId="0" applyFont="1" applyAlignment="1">
      <alignment vertical="top" wrapText="1"/>
    </xf>
    <xf numFmtId="0" fontId="74" fillId="0" borderId="5" xfId="0" applyFont="1" applyBorder="1" applyAlignment="1">
      <alignment vertical="top" wrapText="1"/>
    </xf>
    <xf numFmtId="0" fontId="47" fillId="0" borderId="7" xfId="0" applyFont="1" applyBorder="1"/>
    <xf numFmtId="0" fontId="74" fillId="0" borderId="7" xfId="0" applyFont="1" applyBorder="1" applyAlignment="1">
      <alignment vertical="top" wrapText="1"/>
    </xf>
    <xf numFmtId="0" fontId="58" fillId="6" borderId="7" xfId="0" applyFont="1" applyFill="1" applyBorder="1"/>
    <xf numFmtId="0" fontId="47" fillId="0" borderId="8" xfId="0" applyFont="1" applyBorder="1"/>
    <xf numFmtId="0" fontId="42" fillId="0" borderId="0" xfId="0" applyFont="1"/>
    <xf numFmtId="0" fontId="47" fillId="0" borderId="0" xfId="0" applyFont="1" applyAlignment="1">
      <alignment horizontal="center"/>
    </xf>
    <xf numFmtId="14" fontId="47" fillId="6" borderId="0" xfId="0" applyNumberFormat="1" applyFont="1" applyFill="1" applyAlignment="1">
      <alignment horizontal="center" vertical="top"/>
    </xf>
    <xf numFmtId="14" fontId="47" fillId="6" borderId="0" xfId="0" applyNumberFormat="1" applyFont="1" applyFill="1" applyAlignment="1">
      <alignment horizontal="right" vertical="top"/>
    </xf>
    <xf numFmtId="0" fontId="74" fillId="6" borderId="0" xfId="0" applyFont="1" applyFill="1" applyAlignment="1">
      <alignment wrapText="1"/>
    </xf>
    <xf numFmtId="0" fontId="54" fillId="2" borderId="7" xfId="0" applyFont="1" applyFill="1" applyBorder="1" applyProtection="1">
      <protection hidden="1"/>
    </xf>
    <xf numFmtId="0" fontId="52" fillId="6" borderId="0" xfId="0" applyFont="1" applyFill="1"/>
    <xf numFmtId="0" fontId="0" fillId="6" borderId="0" xfId="0" applyFill="1" applyAlignment="1">
      <alignment vertical="top" wrapText="1"/>
    </xf>
    <xf numFmtId="14" fontId="0" fillId="16" borderId="14" xfId="0" applyNumberFormat="1" applyFill="1" applyBorder="1" applyAlignment="1">
      <alignment horizontal="center"/>
    </xf>
    <xf numFmtId="0" fontId="53" fillId="2" borderId="6" xfId="0" applyFont="1" applyFill="1" applyBorder="1"/>
    <xf numFmtId="0" fontId="0" fillId="2" borderId="3" xfId="0" applyFill="1" applyBorder="1"/>
    <xf numFmtId="0" fontId="0" fillId="2" borderId="8" xfId="0" applyFill="1" applyBorder="1"/>
    <xf numFmtId="0" fontId="53" fillId="2" borderId="1" xfId="0" applyFont="1" applyFill="1" applyBorder="1"/>
    <xf numFmtId="0" fontId="40" fillId="2" borderId="2" xfId="0" applyFont="1" applyFill="1" applyBorder="1"/>
    <xf numFmtId="0" fontId="40" fillId="2" borderId="7" xfId="0" applyFont="1" applyFill="1" applyBorder="1"/>
    <xf numFmtId="0" fontId="47" fillId="3" borderId="7" xfId="0" applyFont="1" applyFill="1" applyBorder="1" applyAlignment="1" applyProtection="1">
      <alignment horizontal="center"/>
      <protection locked="0"/>
    </xf>
    <xf numFmtId="0" fontId="53" fillId="3" borderId="15" xfId="0" applyFont="1" applyFill="1" applyBorder="1" applyAlignment="1" applyProtection="1">
      <alignment horizontal="center"/>
      <protection locked="0"/>
    </xf>
    <xf numFmtId="164" fontId="47" fillId="3" borderId="14" xfId="0" applyNumberFormat="1" applyFont="1" applyFill="1" applyBorder="1" applyAlignment="1" applyProtection="1">
      <alignment horizontal="center"/>
      <protection locked="0"/>
    </xf>
    <xf numFmtId="14" fontId="47" fillId="3" borderId="14" xfId="0" applyNumberFormat="1" applyFont="1" applyFill="1" applyBorder="1" applyAlignment="1" applyProtection="1">
      <alignment horizontal="center"/>
      <protection locked="0"/>
    </xf>
    <xf numFmtId="14" fontId="47" fillId="6" borderId="0" xfId="0" applyNumberFormat="1" applyFont="1" applyFill="1" applyAlignment="1">
      <alignment horizontal="center" vertical="center"/>
    </xf>
    <xf numFmtId="14" fontId="59" fillId="6" borderId="0" xfId="0" applyNumberFormat="1" applyFont="1" applyFill="1" applyAlignment="1">
      <alignment horizontal="center" vertical="center"/>
    </xf>
    <xf numFmtId="0" fontId="0" fillId="15" borderId="14" xfId="0" applyFill="1" applyBorder="1" applyProtection="1">
      <protection locked="0"/>
    </xf>
    <xf numFmtId="0" fontId="0" fillId="15" borderId="12" xfId="0" applyFill="1" applyBorder="1" applyProtection="1">
      <protection locked="0"/>
    </xf>
    <xf numFmtId="174" fontId="0" fillId="15" borderId="12" xfId="0" applyNumberFormat="1" applyFill="1" applyBorder="1" applyProtection="1">
      <protection locked="0"/>
    </xf>
    <xf numFmtId="175" fontId="0" fillId="15" borderId="12" xfId="0" applyNumberFormat="1" applyFill="1" applyBorder="1" applyProtection="1">
      <protection locked="0"/>
    </xf>
    <xf numFmtId="44" fontId="0" fillId="15" borderId="12" xfId="2" applyFont="1" applyFill="1" applyBorder="1" applyProtection="1">
      <protection locked="0"/>
    </xf>
    <xf numFmtId="44" fontId="0" fillId="15" borderId="7" xfId="2" applyFont="1" applyFill="1" applyBorder="1" applyProtection="1">
      <protection locked="0"/>
    </xf>
    <xf numFmtId="0" fontId="0" fillId="6" borderId="2" xfId="0" applyFill="1" applyBorder="1"/>
    <xf numFmtId="10" fontId="0" fillId="15" borderId="14" xfId="3" applyNumberFormat="1" applyFont="1" applyFill="1" applyBorder="1" applyProtection="1">
      <protection locked="0"/>
    </xf>
    <xf numFmtId="0" fontId="108" fillId="22" borderId="0" xfId="0" applyFont="1" applyFill="1" applyAlignment="1">
      <alignment horizontal="left"/>
    </xf>
    <xf numFmtId="0" fontId="109" fillId="22" borderId="0" xfId="0" applyFont="1" applyFill="1" applyAlignment="1">
      <alignment horizontal="left"/>
    </xf>
    <xf numFmtId="0" fontId="110" fillId="22" borderId="0" xfId="0" applyFont="1" applyFill="1" applyAlignment="1">
      <alignment horizontal="left"/>
    </xf>
    <xf numFmtId="177" fontId="0" fillId="15" borderId="14" xfId="3" applyNumberFormat="1" applyFont="1" applyFill="1" applyBorder="1" applyProtection="1">
      <protection locked="0"/>
    </xf>
    <xf numFmtId="0" fontId="0" fillId="26" borderId="0" xfId="0" applyFill="1"/>
    <xf numFmtId="0" fontId="0" fillId="10" borderId="0" xfId="0" applyFill="1"/>
    <xf numFmtId="0" fontId="0" fillId="14" borderId="0" xfId="0" applyFill="1"/>
    <xf numFmtId="165" fontId="58" fillId="14" borderId="48" xfId="0" applyNumberFormat="1" applyFont="1" applyFill="1" applyBorder="1"/>
    <xf numFmtId="165" fontId="63" fillId="14" borderId="48" xfId="0" applyNumberFormat="1" applyFont="1" applyFill="1" applyBorder="1"/>
    <xf numFmtId="165" fontId="85" fillId="14" borderId="48" xfId="0" applyNumberFormat="1" applyFont="1" applyFill="1" applyBorder="1"/>
    <xf numFmtId="44" fontId="63" fillId="14" borderId="21" xfId="2" applyFont="1" applyFill="1" applyBorder="1" applyProtection="1"/>
    <xf numFmtId="44" fontId="85" fillId="14" borderId="21" xfId="2" applyFont="1" applyFill="1" applyBorder="1" applyProtection="1"/>
    <xf numFmtId="44" fontId="85" fillId="14" borderId="21" xfId="2" applyFont="1" applyFill="1" applyBorder="1" applyAlignment="1" applyProtection="1">
      <alignment horizontal="left"/>
    </xf>
    <xf numFmtId="44" fontId="85" fillId="14" borderId="14" xfId="2" applyFont="1" applyFill="1" applyBorder="1" applyAlignment="1" applyProtection="1">
      <alignment horizontal="left"/>
    </xf>
    <xf numFmtId="0" fontId="112" fillId="0" borderId="8" xfId="0" applyFont="1" applyBorder="1" applyAlignment="1">
      <alignment horizontal="right"/>
    </xf>
    <xf numFmtId="0" fontId="111" fillId="0" borderId="8" xfId="0" applyFont="1" applyBorder="1" applyAlignment="1" applyProtection="1">
      <alignment horizontal="right"/>
      <protection hidden="1"/>
    </xf>
    <xf numFmtId="0" fontId="92" fillId="0" borderId="0" xfId="0" applyFont="1"/>
    <xf numFmtId="14" fontId="100" fillId="0" borderId="0" xfId="0" applyNumberFormat="1" applyFont="1"/>
    <xf numFmtId="14" fontId="101" fillId="0" borderId="0" xfId="0" applyNumberFormat="1" applyFont="1"/>
    <xf numFmtId="0" fontId="93" fillId="0" borderId="0" xfId="0" applyFont="1"/>
    <xf numFmtId="0" fontId="88" fillId="0" borderId="0" xfId="0" applyFont="1"/>
    <xf numFmtId="0" fontId="87" fillId="0" borderId="0" xfId="0" applyFont="1" applyProtection="1">
      <protection hidden="1"/>
    </xf>
    <xf numFmtId="0" fontId="49" fillId="0" borderId="0" xfId="0" applyFont="1" applyProtection="1">
      <protection hidden="1"/>
    </xf>
    <xf numFmtId="14" fontId="84" fillId="0" borderId="0" xfId="0" applyNumberFormat="1" applyFont="1"/>
    <xf numFmtId="0" fontId="91" fillId="0" borderId="0" xfId="0" applyFont="1"/>
    <xf numFmtId="0" fontId="86" fillId="0" borderId="0" xfId="0" applyFont="1"/>
    <xf numFmtId="0" fontId="99" fillId="0" borderId="0" xfId="0" applyFont="1"/>
    <xf numFmtId="0" fontId="67" fillId="0" borderId="0" xfId="0" applyFont="1" applyProtection="1">
      <protection hidden="1"/>
    </xf>
    <xf numFmtId="0" fontId="89" fillId="0" borderId="0" xfId="0" applyFont="1" applyProtection="1">
      <protection hidden="1"/>
    </xf>
    <xf numFmtId="2" fontId="87" fillId="0" borderId="0" xfId="0" applyNumberFormat="1" applyFont="1" applyProtection="1">
      <protection hidden="1"/>
    </xf>
    <xf numFmtId="2" fontId="0" fillId="0" borderId="0" xfId="0" applyNumberFormat="1" applyProtection="1">
      <protection hidden="1"/>
    </xf>
    <xf numFmtId="0" fontId="58" fillId="0" borderId="0" xfId="0" applyFont="1"/>
    <xf numFmtId="0" fontId="58" fillId="0" borderId="0" xfId="0" applyFont="1" applyAlignment="1" applyProtection="1">
      <alignment vertical="center"/>
      <protection hidden="1"/>
    </xf>
    <xf numFmtId="0" fontId="97" fillId="0" borderId="0" xfId="0" applyFont="1" applyAlignment="1" applyProtection="1">
      <alignment vertical="center"/>
      <protection hidden="1"/>
    </xf>
    <xf numFmtId="0" fontId="96" fillId="0" borderId="0" xfId="0" applyFont="1" applyAlignment="1" applyProtection="1">
      <alignment vertical="center"/>
      <protection hidden="1"/>
    </xf>
    <xf numFmtId="0" fontId="36" fillId="0" borderId="0" xfId="0" applyFont="1" applyAlignment="1" applyProtection="1">
      <alignment vertical="center"/>
      <protection hidden="1"/>
    </xf>
    <xf numFmtId="0" fontId="73" fillId="0" borderId="0" xfId="0" applyFont="1" applyProtection="1">
      <protection hidden="1"/>
    </xf>
    <xf numFmtId="0" fontId="64" fillId="0" borderId="0" xfId="0" applyFont="1" applyAlignment="1" applyProtection="1">
      <alignment horizontal="left"/>
      <protection hidden="1"/>
    </xf>
    <xf numFmtId="0" fontId="54" fillId="0" borderId="0" xfId="0" applyFont="1" applyAlignment="1" applyProtection="1">
      <alignment horizontal="left"/>
      <protection hidden="1"/>
    </xf>
    <xf numFmtId="0" fontId="0" fillId="8" borderId="0" xfId="0" applyFill="1" applyProtection="1">
      <protection hidden="1"/>
    </xf>
    <xf numFmtId="0" fontId="54" fillId="0" borderId="0" xfId="0" applyFont="1" applyAlignment="1" applyProtection="1">
      <alignment horizontal="right"/>
      <protection hidden="1"/>
    </xf>
    <xf numFmtId="0" fontId="59" fillId="8" borderId="0" xfId="0" applyFont="1" applyFill="1" applyAlignment="1" applyProtection="1">
      <alignment horizontal="right"/>
      <protection hidden="1"/>
    </xf>
    <xf numFmtId="169" fontId="0" fillId="8" borderId="0" xfId="0" applyNumberFormat="1" applyFill="1" applyProtection="1">
      <protection hidden="1"/>
    </xf>
    <xf numFmtId="0" fontId="68" fillId="8" borderId="0" xfId="0" applyFont="1" applyFill="1" applyProtection="1">
      <protection hidden="1"/>
    </xf>
    <xf numFmtId="0" fontId="54" fillId="0" borderId="0" xfId="0" applyFont="1" applyAlignment="1" applyProtection="1">
      <alignment horizontal="right" indent="1"/>
      <protection hidden="1"/>
    </xf>
    <xf numFmtId="3" fontId="0" fillId="8" borderId="0" xfId="0" applyNumberFormat="1" applyFill="1" applyAlignment="1" applyProtection="1">
      <alignment horizontal="center"/>
      <protection hidden="1"/>
    </xf>
    <xf numFmtId="0" fontId="0" fillId="2" borderId="18" xfId="0" applyFill="1" applyBorder="1" applyProtection="1">
      <protection hidden="1"/>
    </xf>
    <xf numFmtId="0" fontId="63" fillId="8" borderId="18" xfId="0" applyFont="1" applyFill="1" applyBorder="1" applyAlignment="1" applyProtection="1">
      <alignment horizontal="right"/>
      <protection hidden="1"/>
    </xf>
    <xf numFmtId="166" fontId="54" fillId="7" borderId="13" xfId="0" applyNumberFormat="1" applyFont="1" applyFill="1" applyBorder="1" applyAlignment="1" applyProtection="1">
      <alignment horizontal="right"/>
      <protection hidden="1"/>
    </xf>
    <xf numFmtId="166" fontId="54" fillId="7" borderId="13" xfId="0" applyNumberFormat="1" applyFont="1" applyFill="1" applyBorder="1" applyProtection="1">
      <protection hidden="1"/>
    </xf>
    <xf numFmtId="166" fontId="53" fillId="7" borderId="13" xfId="0" applyNumberFormat="1" applyFont="1" applyFill="1" applyBorder="1" applyProtection="1">
      <protection hidden="1"/>
    </xf>
    <xf numFmtId="166" fontId="0" fillId="0" borderId="0" xfId="0" applyNumberFormat="1" applyProtection="1">
      <protection hidden="1"/>
    </xf>
    <xf numFmtId="0" fontId="66" fillId="0" borderId="0" xfId="0" applyFont="1" applyProtection="1">
      <protection hidden="1"/>
    </xf>
    <xf numFmtId="0" fontId="0" fillId="0" borderId="0" xfId="0" applyAlignment="1" applyProtection="1">
      <alignment horizontal="left"/>
      <protection hidden="1"/>
    </xf>
    <xf numFmtId="166" fontId="52" fillId="0" borderId="0" xfId="0" applyNumberFormat="1" applyFont="1" applyAlignment="1" applyProtection="1">
      <alignment horizontal="left"/>
      <protection hidden="1"/>
    </xf>
    <xf numFmtId="0" fontId="54" fillId="7" borderId="18" xfId="0" applyFont="1" applyFill="1" applyBorder="1" applyAlignment="1" applyProtection="1">
      <alignment horizontal="left"/>
      <protection hidden="1"/>
    </xf>
    <xf numFmtId="0" fontId="69" fillId="0" borderId="5" xfId="0" applyFont="1" applyBorder="1" applyAlignment="1" applyProtection="1">
      <alignment horizontal="right" indent="1"/>
      <protection hidden="1"/>
    </xf>
    <xf numFmtId="166" fontId="54" fillId="0" borderId="0" xfId="0" applyNumberFormat="1" applyFont="1" applyProtection="1">
      <protection hidden="1"/>
    </xf>
    <xf numFmtId="0" fontId="58" fillId="0" borderId="0" xfId="0" applyFont="1" applyAlignment="1" applyProtection="1">
      <alignment horizontal="right"/>
      <protection hidden="1"/>
    </xf>
    <xf numFmtId="0" fontId="53" fillId="8" borderId="0" xfId="0" applyFont="1" applyFill="1" applyAlignment="1" applyProtection="1">
      <alignment horizontal="right"/>
      <protection hidden="1"/>
    </xf>
    <xf numFmtId="0" fontId="59" fillId="0" borderId="0" xfId="0" applyFont="1" applyAlignment="1" applyProtection="1">
      <alignment horizontal="left"/>
      <protection hidden="1"/>
    </xf>
    <xf numFmtId="0" fontId="68" fillId="0" borderId="0" xfId="0" applyFont="1" applyProtection="1">
      <protection hidden="1"/>
    </xf>
    <xf numFmtId="0" fontId="89" fillId="0" borderId="0" xfId="0" applyFont="1" applyAlignment="1" applyProtection="1">
      <alignment horizontal="left"/>
      <protection hidden="1"/>
    </xf>
    <xf numFmtId="164" fontId="90" fillId="0" borderId="0" xfId="0" applyNumberFormat="1" applyFont="1" applyAlignment="1" applyProtection="1">
      <alignment horizontal="right" indent="1"/>
      <protection hidden="1"/>
    </xf>
    <xf numFmtId="0" fontId="53" fillId="0" borderId="7" xfId="0" applyFont="1" applyBorder="1" applyProtection="1">
      <protection hidden="1"/>
    </xf>
    <xf numFmtId="0" fontId="53" fillId="0" borderId="7" xfId="0" applyFont="1" applyBorder="1" applyAlignment="1" applyProtection="1">
      <alignment horizontal="right"/>
      <protection hidden="1"/>
    </xf>
    <xf numFmtId="0" fontId="61" fillId="0" borderId="0" xfId="1" applyFill="1" applyBorder="1" applyAlignment="1" applyProtection="1">
      <alignment horizontal="center" wrapText="1"/>
      <protection hidden="1"/>
    </xf>
    <xf numFmtId="0" fontId="61" fillId="0" borderId="0" xfId="1" applyFill="1" applyBorder="1" applyAlignment="1" applyProtection="1">
      <protection hidden="1"/>
    </xf>
    <xf numFmtId="0" fontId="70" fillId="0" borderId="0" xfId="0" applyFont="1" applyProtection="1">
      <protection hidden="1"/>
    </xf>
    <xf numFmtId="0" fontId="95" fillId="0" borderId="0" xfId="0" applyFont="1" applyProtection="1">
      <protection hidden="1"/>
    </xf>
    <xf numFmtId="0" fontId="0" fillId="6" borderId="4" xfId="0" applyFill="1" applyBorder="1" applyProtection="1">
      <protection hidden="1"/>
    </xf>
    <xf numFmtId="0" fontId="0" fillId="6" borderId="0" xfId="0" applyFill="1" applyProtection="1">
      <protection hidden="1"/>
    </xf>
    <xf numFmtId="0" fontId="40" fillId="6" borderId="0" xfId="0" applyFont="1" applyFill="1" applyProtection="1">
      <protection hidden="1"/>
    </xf>
    <xf numFmtId="0" fontId="40" fillId="7" borderId="0" xfId="0" applyFont="1" applyFill="1" applyProtection="1">
      <protection hidden="1"/>
    </xf>
    <xf numFmtId="0" fontId="59" fillId="6" borderId="0" xfId="0" applyFont="1" applyFill="1" applyAlignment="1" applyProtection="1">
      <alignment horizontal="right"/>
      <protection hidden="1"/>
    </xf>
    <xf numFmtId="0" fontId="38" fillId="6" borderId="0" xfId="0" applyFont="1" applyFill="1" applyProtection="1">
      <protection hidden="1"/>
    </xf>
    <xf numFmtId="0" fontId="53" fillId="6" borderId="0" xfId="0" applyFont="1" applyFill="1" applyProtection="1">
      <protection hidden="1"/>
    </xf>
    <xf numFmtId="0" fontId="0" fillId="6" borderId="5" xfId="0" applyFill="1" applyBorder="1" applyProtection="1">
      <protection hidden="1"/>
    </xf>
    <xf numFmtId="0" fontId="40" fillId="6" borderId="4" xfId="0" applyFont="1" applyFill="1" applyBorder="1" applyProtection="1">
      <protection hidden="1"/>
    </xf>
    <xf numFmtId="0" fontId="0" fillId="6" borderId="2" xfId="0" applyFill="1" applyBorder="1" applyProtection="1">
      <protection hidden="1"/>
    </xf>
    <xf numFmtId="0" fontId="58" fillId="6" borderId="0" xfId="0" applyFont="1" applyFill="1" applyAlignment="1" applyProtection="1">
      <alignment horizontal="left" vertical="top"/>
      <protection hidden="1"/>
    </xf>
    <xf numFmtId="0" fontId="39" fillId="6" borderId="0" xfId="0" applyFont="1" applyFill="1" applyAlignment="1" applyProtection="1">
      <alignment horizontal="left" vertical="top"/>
      <protection hidden="1"/>
    </xf>
    <xf numFmtId="0" fontId="50" fillId="6" borderId="0" xfId="0" applyFont="1" applyFill="1" applyProtection="1">
      <protection hidden="1"/>
    </xf>
    <xf numFmtId="0" fontId="0" fillId="6" borderId="7" xfId="0" applyFill="1" applyBorder="1" applyProtection="1">
      <protection hidden="1"/>
    </xf>
    <xf numFmtId="0" fontId="50" fillId="6" borderId="7" xfId="0" applyFont="1" applyFill="1" applyBorder="1" applyProtection="1">
      <protection hidden="1"/>
    </xf>
    <xf numFmtId="0" fontId="0" fillId="2" borderId="5" xfId="0" applyFill="1" applyBorder="1"/>
    <xf numFmtId="0" fontId="50" fillId="2" borderId="4" xfId="0" applyFont="1" applyFill="1" applyBorder="1"/>
    <xf numFmtId="0" fontId="53" fillId="2" borderId="4" xfId="0" applyFont="1" applyFill="1" applyBorder="1"/>
    <xf numFmtId="0" fontId="53" fillId="0" borderId="4" xfId="0" applyFont="1" applyBorder="1"/>
    <xf numFmtId="176" fontId="46" fillId="0" borderId="19" xfId="0" applyNumberFormat="1" applyFont="1" applyBorder="1"/>
    <xf numFmtId="0" fontId="46" fillId="0" borderId="19" xfId="0" applyFont="1" applyBorder="1"/>
    <xf numFmtId="0" fontId="44" fillId="0" borderId="4" xfId="0" applyFont="1" applyBorder="1"/>
    <xf numFmtId="0" fontId="0" fillId="0" borderId="19" xfId="0" applyBorder="1"/>
    <xf numFmtId="0" fontId="45" fillId="0" borderId="4" xfId="0" applyFont="1" applyBorder="1"/>
    <xf numFmtId="0" fontId="74" fillId="0" borderId="6" xfId="0" applyFont="1" applyBorder="1"/>
    <xf numFmtId="0" fontId="105" fillId="26" borderId="0" xfId="0" applyFont="1" applyFill="1"/>
    <xf numFmtId="2" fontId="47" fillId="27" borderId="8" xfId="0" applyNumberFormat="1" applyFont="1" applyFill="1" applyBorder="1" applyAlignment="1" applyProtection="1">
      <alignment horizontal="center"/>
      <protection locked="0"/>
    </xf>
    <xf numFmtId="2" fontId="47" fillId="27" borderId="13" xfId="0" applyNumberFormat="1" applyFont="1" applyFill="1" applyBorder="1" applyAlignment="1" applyProtection="1">
      <alignment horizontal="center"/>
      <protection locked="0"/>
    </xf>
    <xf numFmtId="2" fontId="47" fillId="27" borderId="7" xfId="0" applyNumberFormat="1" applyFont="1" applyFill="1" applyBorder="1" applyAlignment="1" applyProtection="1">
      <alignment horizontal="center"/>
      <protection locked="0"/>
    </xf>
    <xf numFmtId="14" fontId="47" fillId="3" borderId="15" xfId="0" applyNumberFormat="1" applyFont="1" applyFill="1" applyBorder="1" applyAlignment="1" applyProtection="1">
      <alignment horizontal="center"/>
      <protection locked="0"/>
    </xf>
    <xf numFmtId="10" fontId="74" fillId="6" borderId="0" xfId="0" applyNumberFormat="1" applyFont="1" applyFill="1" applyAlignment="1">
      <alignment horizontal="center"/>
    </xf>
    <xf numFmtId="10" fontId="74" fillId="6" borderId="4" xfId="0" applyNumberFormat="1" applyFont="1" applyFill="1" applyBorder="1" applyAlignment="1">
      <alignment horizontal="center"/>
    </xf>
    <xf numFmtId="14" fontId="96" fillId="8" borderId="0" xfId="0" applyNumberFormat="1" applyFont="1" applyFill="1"/>
    <xf numFmtId="14" fontId="49" fillId="8" borderId="0" xfId="0" applyNumberFormat="1" applyFont="1" applyFill="1"/>
    <xf numFmtId="14" fontId="87" fillId="8" borderId="0" xfId="0" applyNumberFormat="1" applyFont="1" applyFill="1"/>
    <xf numFmtId="14" fontId="65" fillId="8" borderId="0" xfId="0" applyNumberFormat="1" applyFont="1" applyFill="1"/>
    <xf numFmtId="14" fontId="0" fillId="8" borderId="0" xfId="0" applyNumberFormat="1" applyFill="1"/>
    <xf numFmtId="0" fontId="0" fillId="8" borderId="0" xfId="0" applyFill="1"/>
    <xf numFmtId="0" fontId="96" fillId="8" borderId="0" xfId="0" applyFont="1" applyFill="1"/>
    <xf numFmtId="0" fontId="49" fillId="8" borderId="0" xfId="0" applyFont="1" applyFill="1"/>
    <xf numFmtId="0" fontId="45" fillId="8" borderId="0" xfId="0" applyFont="1" applyFill="1"/>
    <xf numFmtId="0" fontId="74" fillId="8" borderId="0" xfId="0" applyFont="1" applyFill="1"/>
    <xf numFmtId="0" fontId="98" fillId="8" borderId="0" xfId="0" applyFont="1" applyFill="1"/>
    <xf numFmtId="0" fontId="35" fillId="8" borderId="0" xfId="0" applyFont="1" applyFill="1"/>
    <xf numFmtId="0" fontId="117" fillId="8" borderId="0" xfId="0" applyFont="1" applyFill="1"/>
    <xf numFmtId="0" fontId="118" fillId="8" borderId="0" xfId="0" applyFont="1" applyFill="1"/>
    <xf numFmtId="0" fontId="119" fillId="8" borderId="0" xfId="0" applyFont="1" applyFill="1"/>
    <xf numFmtId="6" fontId="0" fillId="8" borderId="0" xfId="0" applyNumberFormat="1" applyFill="1"/>
    <xf numFmtId="0" fontId="82" fillId="8" borderId="0" xfId="0" applyFont="1" applyFill="1"/>
    <xf numFmtId="6" fontId="0" fillId="8" borderId="0" xfId="0" applyNumberFormat="1" applyFill="1" applyAlignment="1">
      <alignment horizontal="left"/>
    </xf>
    <xf numFmtId="0" fontId="49" fillId="8" borderId="7" xfId="0" applyFont="1" applyFill="1" applyBorder="1"/>
    <xf numFmtId="0" fontId="50" fillId="8" borderId="0" xfId="0" applyFont="1" applyFill="1"/>
    <xf numFmtId="10" fontId="116" fillId="15" borderId="12" xfId="0" applyNumberFormat="1" applyFont="1" applyFill="1" applyBorder="1" applyAlignment="1" applyProtection="1">
      <alignment horizontal="center"/>
      <protection locked="0"/>
    </xf>
    <xf numFmtId="0" fontId="50" fillId="2" borderId="14" xfId="0" applyFont="1" applyFill="1" applyBorder="1" applyAlignment="1">
      <alignment horizontal="left" vertical="center"/>
    </xf>
    <xf numFmtId="0" fontId="105" fillId="2" borderId="4" xfId="0" applyFont="1" applyFill="1" applyBorder="1" applyAlignment="1" applyProtection="1">
      <alignment vertical="center" wrapText="1"/>
      <protection hidden="1"/>
    </xf>
    <xf numFmtId="0" fontId="105" fillId="2" borderId="0" xfId="0" applyFont="1" applyFill="1" applyAlignment="1" applyProtection="1">
      <alignment vertical="center" wrapText="1"/>
      <protection hidden="1"/>
    </xf>
    <xf numFmtId="0" fontId="49" fillId="6" borderId="0" xfId="0" applyFont="1" applyFill="1" applyProtection="1">
      <protection hidden="1"/>
    </xf>
    <xf numFmtId="0" fontId="48" fillId="6" borderId="0" xfId="0" applyFont="1" applyFill="1"/>
    <xf numFmtId="0" fontId="48" fillId="6" borderId="4" xfId="0" applyFont="1" applyFill="1" applyBorder="1"/>
    <xf numFmtId="0" fontId="48" fillId="6" borderId="5" xfId="0" applyFont="1" applyFill="1" applyBorder="1"/>
    <xf numFmtId="0" fontId="48" fillId="6" borderId="0" xfId="0" applyFont="1" applyFill="1" applyAlignment="1">
      <alignment horizontal="left"/>
    </xf>
    <xf numFmtId="0" fontId="61" fillId="0" borderId="0" xfId="1" applyAlignment="1" applyProtection="1"/>
    <xf numFmtId="0" fontId="54" fillId="6" borderId="4" xfId="0" applyFont="1" applyFill="1" applyBorder="1"/>
    <xf numFmtId="0" fontId="80" fillId="6" borderId="0" xfId="0" applyFont="1" applyFill="1"/>
    <xf numFmtId="0" fontId="48" fillId="6" borderId="7" xfId="0" applyFont="1" applyFill="1" applyBorder="1"/>
    <xf numFmtId="0" fontId="48" fillId="6" borderId="8" xfId="0" applyFont="1" applyFill="1" applyBorder="1"/>
    <xf numFmtId="0" fontId="59" fillId="6" borderId="0" xfId="0" applyFont="1" applyFill="1"/>
    <xf numFmtId="0" fontId="59" fillId="6" borderId="5" xfId="0" applyFont="1" applyFill="1" applyBorder="1"/>
    <xf numFmtId="0" fontId="81" fillId="6" borderId="5" xfId="0" applyFont="1" applyFill="1" applyBorder="1"/>
    <xf numFmtId="0" fontId="48" fillId="6" borderId="6" xfId="0" applyFont="1" applyFill="1" applyBorder="1"/>
    <xf numFmtId="0" fontId="49" fillId="6" borderId="0" xfId="0" applyFont="1" applyFill="1"/>
    <xf numFmtId="0" fontId="62" fillId="6" borderId="0" xfId="0" applyFont="1" applyFill="1"/>
    <xf numFmtId="0" fontId="64" fillId="0" borderId="0" xfId="0" applyFont="1"/>
    <xf numFmtId="10" fontId="116" fillId="15" borderId="14" xfId="0" applyNumberFormat="1" applyFont="1" applyFill="1" applyBorder="1" applyAlignment="1" applyProtection="1">
      <alignment horizontal="center"/>
      <protection locked="0"/>
    </xf>
    <xf numFmtId="168" fontId="0" fillId="0" borderId="4" xfId="0" applyNumberFormat="1" applyBorder="1"/>
    <xf numFmtId="0" fontId="58" fillId="29" borderId="0" xfId="0" applyFont="1" applyFill="1" applyProtection="1">
      <protection hidden="1"/>
    </xf>
    <xf numFmtId="0" fontId="59" fillId="30" borderId="0" xfId="18" applyFill="1" applyAlignment="1">
      <alignment vertical="center" wrapText="1"/>
    </xf>
    <xf numFmtId="0" fontId="54" fillId="0" borderId="14" xfId="18" applyFont="1" applyBorder="1" applyAlignment="1">
      <alignment horizontal="center" vertical="center" wrapText="1"/>
    </xf>
    <xf numFmtId="0" fontId="33" fillId="0" borderId="0" xfId="0" applyFont="1"/>
    <xf numFmtId="0" fontId="59" fillId="0" borderId="20" xfId="18" applyBorder="1" applyAlignment="1">
      <alignment horizontal="left" vertical="top" wrapText="1"/>
    </xf>
    <xf numFmtId="185" fontId="0" fillId="16" borderId="14" xfId="0" applyNumberFormat="1" applyFill="1" applyBorder="1" applyAlignment="1">
      <alignment vertical="top" wrapText="1"/>
    </xf>
    <xf numFmtId="0" fontId="32" fillId="0" borderId="0" xfId="0" applyFont="1"/>
    <xf numFmtId="14" fontId="53" fillId="3" borderId="14" xfId="0" applyNumberFormat="1" applyFont="1" applyFill="1" applyBorder="1" applyAlignment="1" applyProtection="1">
      <alignment horizontal="center"/>
      <protection locked="0"/>
    </xf>
    <xf numFmtId="186" fontId="0" fillId="15" borderId="14" xfId="0" applyNumberFormat="1" applyFill="1" applyBorder="1" applyProtection="1">
      <protection locked="0"/>
    </xf>
    <xf numFmtId="0" fontId="54" fillId="6" borderId="0" xfId="0" applyFont="1" applyFill="1"/>
    <xf numFmtId="0" fontId="121" fillId="29" borderId="0" xfId="0" applyFont="1" applyFill="1" applyProtection="1">
      <protection hidden="1"/>
    </xf>
    <xf numFmtId="0" fontId="30" fillId="0" borderId="0" xfId="0" applyFont="1"/>
    <xf numFmtId="180" fontId="58" fillId="14" borderId="21" xfId="2" applyNumberFormat="1" applyFont="1" applyFill="1" applyBorder="1" applyProtection="1"/>
    <xf numFmtId="0" fontId="52" fillId="2" borderId="3" xfId="0" applyFont="1" applyFill="1" applyBorder="1" applyProtection="1">
      <protection hidden="1"/>
    </xf>
    <xf numFmtId="0" fontId="52" fillId="2" borderId="4" xfId="0" applyFont="1" applyFill="1" applyBorder="1" applyProtection="1">
      <protection hidden="1"/>
    </xf>
    <xf numFmtId="0" fontId="54" fillId="2" borderId="1" xfId="0" applyFont="1" applyFill="1" applyBorder="1" applyAlignment="1" applyProtection="1">
      <alignment horizontal="left"/>
      <protection hidden="1"/>
    </xf>
    <xf numFmtId="0" fontId="59" fillId="2" borderId="2" xfId="0" applyFont="1" applyFill="1" applyBorder="1" applyProtection="1">
      <protection hidden="1"/>
    </xf>
    <xf numFmtId="0" fontId="52" fillId="2" borderId="5" xfId="0" applyFont="1" applyFill="1" applyBorder="1" applyProtection="1">
      <protection hidden="1"/>
    </xf>
    <xf numFmtId="0" fontId="54" fillId="2" borderId="6" xfId="0" applyFont="1" applyFill="1" applyBorder="1" applyAlignment="1" applyProtection="1">
      <alignment horizontal="left"/>
      <protection hidden="1"/>
    </xf>
    <xf numFmtId="0" fontId="59" fillId="2" borderId="7" xfId="0" applyFont="1" applyFill="1" applyBorder="1" applyProtection="1">
      <protection hidden="1"/>
    </xf>
    <xf numFmtId="14" fontId="59" fillId="2" borderId="8" xfId="0" applyNumberFormat="1" applyFont="1" applyFill="1" applyBorder="1" applyAlignment="1" applyProtection="1">
      <alignment horizontal="left"/>
      <protection hidden="1"/>
    </xf>
    <xf numFmtId="0" fontId="41" fillId="14" borderId="1" xfId="0" applyFont="1" applyFill="1" applyBorder="1" applyAlignment="1" applyProtection="1">
      <alignment horizontal="center" vertical="center" wrapText="1"/>
      <protection hidden="1"/>
    </xf>
    <xf numFmtId="0" fontId="74" fillId="14" borderId="20" xfId="0" applyFont="1" applyFill="1" applyBorder="1" applyAlignment="1" applyProtection="1">
      <alignment horizontal="center" vertical="center" wrapText="1"/>
      <protection hidden="1"/>
    </xf>
    <xf numFmtId="0" fontId="74" fillId="6" borderId="20" xfId="0" applyFont="1" applyFill="1" applyBorder="1" applyAlignment="1" applyProtection="1">
      <alignment horizontal="center" vertical="center" wrapText="1"/>
      <protection hidden="1"/>
    </xf>
    <xf numFmtId="0" fontId="74" fillId="6" borderId="14" xfId="0" applyFont="1" applyFill="1" applyBorder="1" applyAlignment="1" applyProtection="1">
      <alignment horizontal="center" vertical="center" wrapText="1"/>
      <protection hidden="1"/>
    </xf>
    <xf numFmtId="0" fontId="0" fillId="14" borderId="6" xfId="0" applyFill="1" applyBorder="1" applyProtection="1">
      <protection hidden="1"/>
    </xf>
    <xf numFmtId="0" fontId="0" fillId="14" borderId="21" xfId="0" applyFill="1" applyBorder="1" applyProtection="1">
      <protection hidden="1"/>
    </xf>
    <xf numFmtId="0" fontId="0" fillId="6" borderId="21" xfId="0" applyFill="1" applyBorder="1" applyProtection="1">
      <protection hidden="1"/>
    </xf>
    <xf numFmtId="9" fontId="0" fillId="16" borderId="14" xfId="0" applyNumberFormat="1" applyFill="1" applyBorder="1" applyProtection="1">
      <protection hidden="1"/>
    </xf>
    <xf numFmtId="10" fontId="0" fillId="6" borderId="2" xfId="0" applyNumberFormat="1" applyFill="1" applyBorder="1" applyProtection="1">
      <protection hidden="1"/>
    </xf>
    <xf numFmtId="177" fontId="0" fillId="6" borderId="0" xfId="3" applyNumberFormat="1" applyFont="1" applyFill="1" applyBorder="1" applyProtection="1">
      <protection hidden="1"/>
    </xf>
    <xf numFmtId="9" fontId="0" fillId="6" borderId="5" xfId="0" applyNumberFormat="1" applyFill="1" applyBorder="1" applyProtection="1">
      <protection hidden="1"/>
    </xf>
    <xf numFmtId="0" fontId="50" fillId="20" borderId="18" xfId="0" applyFont="1" applyFill="1" applyBorder="1" applyProtection="1">
      <protection hidden="1"/>
    </xf>
    <xf numFmtId="0" fontId="50" fillId="14" borderId="12" xfId="0" applyFont="1" applyFill="1" applyBorder="1" applyProtection="1">
      <protection hidden="1"/>
    </xf>
    <xf numFmtId="0" fontId="0" fillId="14" borderId="2" xfId="0" applyFill="1" applyBorder="1" applyProtection="1">
      <protection hidden="1"/>
    </xf>
    <xf numFmtId="0" fontId="0" fillId="6" borderId="3" xfId="0" applyFill="1" applyBorder="1" applyProtection="1">
      <protection hidden="1"/>
    </xf>
    <xf numFmtId="0" fontId="40" fillId="6" borderId="7" xfId="0" applyFont="1" applyFill="1" applyBorder="1" applyProtection="1">
      <protection hidden="1"/>
    </xf>
    <xf numFmtId="44" fontId="40" fillId="14" borderId="48" xfId="2" applyFont="1" applyFill="1" applyBorder="1" applyProtection="1">
      <protection hidden="1"/>
    </xf>
    <xf numFmtId="44" fontId="104" fillId="16" borderId="57" xfId="2" applyFont="1" applyFill="1" applyBorder="1" applyProtection="1">
      <protection hidden="1"/>
    </xf>
    <xf numFmtId="10" fontId="31" fillId="7" borderId="14" xfId="0" applyNumberFormat="1" applyFont="1" applyFill="1" applyBorder="1" applyProtection="1">
      <protection hidden="1"/>
    </xf>
    <xf numFmtId="0" fontId="40" fillId="6" borderId="2" xfId="0" applyFont="1" applyFill="1" applyBorder="1" applyProtection="1">
      <protection hidden="1"/>
    </xf>
    <xf numFmtId="0" fontId="50" fillId="6" borderId="3" xfId="0" applyFont="1" applyFill="1" applyBorder="1" applyProtection="1">
      <protection hidden="1"/>
    </xf>
    <xf numFmtId="0" fontId="0" fillId="17" borderId="59" xfId="0" applyFill="1" applyBorder="1" applyProtection="1">
      <protection hidden="1"/>
    </xf>
    <xf numFmtId="0" fontId="50" fillId="6" borderId="5" xfId="0" applyFont="1" applyFill="1" applyBorder="1" applyProtection="1">
      <protection hidden="1"/>
    </xf>
    <xf numFmtId="0" fontId="0" fillId="19" borderId="61" xfId="0" applyFill="1" applyBorder="1" applyProtection="1">
      <protection hidden="1"/>
    </xf>
    <xf numFmtId="0" fontId="0" fillId="6" borderId="6" xfId="0" applyFill="1" applyBorder="1" applyAlignment="1" applyProtection="1">
      <alignment wrapText="1"/>
      <protection hidden="1"/>
    </xf>
    <xf numFmtId="0" fontId="0" fillId="6" borderId="55" xfId="0" applyFill="1" applyBorder="1" applyProtection="1">
      <protection hidden="1"/>
    </xf>
    <xf numFmtId="0" fontId="103" fillId="6" borderId="58" xfId="0" applyFont="1" applyFill="1" applyBorder="1" applyProtection="1">
      <protection hidden="1"/>
    </xf>
    <xf numFmtId="165" fontId="103" fillId="6" borderId="58" xfId="0" applyNumberFormat="1" applyFont="1" applyFill="1" applyBorder="1" applyProtection="1">
      <protection hidden="1"/>
    </xf>
    <xf numFmtId="0" fontId="50" fillId="20" borderId="20" xfId="0" applyFont="1" applyFill="1" applyBorder="1" applyProtection="1">
      <protection hidden="1"/>
    </xf>
    <xf numFmtId="0" fontId="40" fillId="6" borderId="6" xfId="0" applyFont="1" applyFill="1" applyBorder="1" applyProtection="1">
      <protection hidden="1"/>
    </xf>
    <xf numFmtId="0" fontId="40" fillId="0" borderId="44" xfId="0" applyFont="1" applyBorder="1" applyProtection="1">
      <protection hidden="1"/>
    </xf>
    <xf numFmtId="44" fontId="40" fillId="14" borderId="55" xfId="2" applyFont="1" applyFill="1" applyBorder="1" applyProtection="1">
      <protection hidden="1"/>
    </xf>
    <xf numFmtId="44" fontId="40" fillId="14" borderId="56" xfId="2" applyFont="1" applyFill="1" applyBorder="1" applyProtection="1">
      <protection hidden="1"/>
    </xf>
    <xf numFmtId="0" fontId="37" fillId="14" borderId="34" xfId="0" applyFont="1" applyFill="1" applyBorder="1" applyAlignment="1" applyProtection="1">
      <alignment vertical="center"/>
      <protection hidden="1"/>
    </xf>
    <xf numFmtId="0" fontId="37" fillId="14" borderId="50" xfId="0" applyFont="1" applyFill="1" applyBorder="1" applyAlignment="1" applyProtection="1">
      <alignment vertical="center"/>
      <protection hidden="1"/>
    </xf>
    <xf numFmtId="0" fontId="38" fillId="6" borderId="32" xfId="0" applyFont="1" applyFill="1" applyBorder="1" applyAlignment="1" applyProtection="1">
      <alignment wrapText="1"/>
      <protection hidden="1"/>
    </xf>
    <xf numFmtId="0" fontId="37" fillId="0" borderId="32" xfId="0" applyFont="1" applyBorder="1" applyAlignment="1" applyProtection="1">
      <alignment horizontal="center" wrapText="1"/>
      <protection hidden="1"/>
    </xf>
    <xf numFmtId="0" fontId="37" fillId="0" borderId="33" xfId="0" applyFont="1" applyBorder="1" applyAlignment="1" applyProtection="1">
      <alignment horizontal="center" wrapText="1"/>
      <protection hidden="1"/>
    </xf>
    <xf numFmtId="0" fontId="0" fillId="6" borderId="71" xfId="0" applyFill="1" applyBorder="1" applyProtection="1">
      <protection hidden="1"/>
    </xf>
    <xf numFmtId="4" fontId="37" fillId="24" borderId="69" xfId="0" applyNumberFormat="1" applyFont="1" applyFill="1" applyBorder="1" applyAlignment="1" applyProtection="1">
      <alignment horizontal="left"/>
      <protection hidden="1"/>
    </xf>
    <xf numFmtId="2" fontId="38" fillId="6" borderId="20" xfId="0" applyNumberFormat="1" applyFont="1" applyFill="1" applyBorder="1" applyProtection="1">
      <protection hidden="1"/>
    </xf>
    <xf numFmtId="4" fontId="53" fillId="18" borderId="15" xfId="0" applyNumberFormat="1" applyFont="1" applyFill="1" applyBorder="1" applyAlignment="1" applyProtection="1">
      <alignment horizontal="left" wrapText="1"/>
      <protection hidden="1"/>
    </xf>
    <xf numFmtId="44" fontId="53" fillId="18" borderId="22" xfId="2" applyFont="1" applyFill="1" applyBorder="1" applyAlignment="1" applyProtection="1">
      <alignment horizontal="center" vertical="center"/>
      <protection hidden="1"/>
    </xf>
    <xf numFmtId="44" fontId="53" fillId="18" borderId="70" xfId="2" applyFont="1" applyFill="1" applyBorder="1" applyAlignment="1" applyProtection="1">
      <alignment horizontal="center" vertical="center"/>
      <protection hidden="1"/>
    </xf>
    <xf numFmtId="44" fontId="53" fillId="18" borderId="23" xfId="2" applyFont="1" applyFill="1" applyBorder="1" applyAlignment="1" applyProtection="1">
      <alignment horizontal="center" vertical="center"/>
      <protection hidden="1"/>
    </xf>
    <xf numFmtId="4" fontId="53" fillId="24" borderId="9" xfId="0" applyNumberFormat="1" applyFont="1" applyFill="1" applyBorder="1" applyAlignment="1" applyProtection="1">
      <alignment horizontal="left" wrapText="1"/>
      <protection hidden="1"/>
    </xf>
    <xf numFmtId="10" fontId="53" fillId="0" borderId="22" xfId="3" applyNumberFormat="1" applyFont="1" applyBorder="1" applyAlignment="1" applyProtection="1">
      <alignment horizontal="right"/>
      <protection hidden="1"/>
    </xf>
    <xf numFmtId="10" fontId="53" fillId="0" borderId="70" xfId="0" applyNumberFormat="1" applyFont="1" applyBorder="1" applyAlignment="1" applyProtection="1">
      <alignment horizontal="right"/>
      <protection hidden="1"/>
    </xf>
    <xf numFmtId="10" fontId="53" fillId="0" borderId="23" xfId="0" applyNumberFormat="1" applyFont="1" applyBorder="1" applyAlignment="1" applyProtection="1">
      <alignment horizontal="right"/>
      <protection hidden="1"/>
    </xf>
    <xf numFmtId="0" fontId="53" fillId="25" borderId="15" xfId="0" applyFont="1" applyFill="1" applyBorder="1" applyAlignment="1" applyProtection="1">
      <alignment horizontal="left" wrapText="1"/>
      <protection hidden="1"/>
    </xf>
    <xf numFmtId="0" fontId="111" fillId="0" borderId="5" xfId="0" applyFont="1" applyBorder="1" applyAlignment="1" applyProtection="1">
      <alignment horizontal="right"/>
      <protection hidden="1"/>
    </xf>
    <xf numFmtId="44" fontId="27" fillId="17" borderId="60" xfId="2" applyFont="1" applyFill="1" applyBorder="1" applyProtection="1">
      <protection hidden="1"/>
    </xf>
    <xf numFmtId="44" fontId="27" fillId="19" borderId="61" xfId="2" applyFont="1" applyFill="1" applyBorder="1" applyProtection="1">
      <protection hidden="1"/>
    </xf>
    <xf numFmtId="44" fontId="27" fillId="7" borderId="6" xfId="2" applyFont="1" applyFill="1" applyBorder="1" applyProtection="1">
      <protection hidden="1"/>
    </xf>
    <xf numFmtId="0" fontId="27" fillId="14" borderId="18" xfId="0" applyFont="1" applyFill="1" applyBorder="1" applyProtection="1">
      <protection hidden="1"/>
    </xf>
    <xf numFmtId="188" fontId="58" fillId="14" borderId="21" xfId="2" applyNumberFormat="1" applyFont="1" applyFill="1" applyBorder="1" applyProtection="1"/>
    <xf numFmtId="180" fontId="0" fillId="0" borderId="0" xfId="0" applyNumberFormat="1"/>
    <xf numFmtId="44" fontId="48" fillId="6" borderId="6" xfId="2" applyFont="1" applyFill="1" applyBorder="1" applyProtection="1"/>
    <xf numFmtId="44" fontId="48" fillId="16" borderId="12" xfId="2" applyFont="1" applyFill="1" applyBorder="1" applyProtection="1"/>
    <xf numFmtId="0" fontId="48" fillId="0" borderId="12" xfId="0" applyFont="1" applyBorder="1"/>
    <xf numFmtId="44" fontId="48" fillId="6" borderId="12" xfId="2" applyFont="1" applyFill="1" applyBorder="1" applyProtection="1"/>
    <xf numFmtId="0" fontId="61" fillId="6" borderId="0" xfId="1" applyFill="1" applyAlignment="1" applyProtection="1"/>
    <xf numFmtId="0" fontId="113" fillId="6" borderId="1" xfId="0" applyFont="1" applyFill="1" applyBorder="1"/>
    <xf numFmtId="0" fontId="74" fillId="6" borderId="0" xfId="0" applyFont="1" applyFill="1"/>
    <xf numFmtId="0" fontId="74" fillId="6" borderId="5" xfId="0" applyFont="1" applyFill="1" applyBorder="1"/>
    <xf numFmtId="0" fontId="74" fillId="6" borderId="7" xfId="0" applyFont="1" applyFill="1" applyBorder="1"/>
    <xf numFmtId="0" fontId="74" fillId="6" borderId="8" xfId="0" applyFont="1" applyFill="1" applyBorder="1"/>
    <xf numFmtId="0" fontId="61" fillId="6" borderId="0" xfId="1" applyFill="1" applyBorder="1" applyAlignment="1" applyProtection="1"/>
    <xf numFmtId="0" fontId="28" fillId="6" borderId="10" xfId="0" applyFont="1" applyFill="1" applyBorder="1" applyProtection="1">
      <protection hidden="1"/>
    </xf>
    <xf numFmtId="0" fontId="0" fillId="29" borderId="14" xfId="0" applyFill="1" applyBorder="1"/>
    <xf numFmtId="44" fontId="0" fillId="29" borderId="14" xfId="0" applyNumberFormat="1" applyFill="1" applyBorder="1"/>
    <xf numFmtId="164" fontId="0" fillId="29" borderId="14" xfId="0" applyNumberFormat="1" applyFill="1" applyBorder="1"/>
    <xf numFmtId="165" fontId="0" fillId="29" borderId="14" xfId="0" applyNumberFormat="1" applyFill="1" applyBorder="1"/>
    <xf numFmtId="181" fontId="0" fillId="29" borderId="14" xfId="0" applyNumberFormat="1" applyFill="1" applyBorder="1"/>
    <xf numFmtId="14" fontId="58" fillId="0" borderId="0" xfId="0" applyNumberFormat="1" applyFont="1" applyAlignment="1">
      <alignment horizontal="right"/>
    </xf>
    <xf numFmtId="0" fontId="58" fillId="0" borderId="0" xfId="0" applyFont="1" applyAlignment="1">
      <alignment horizontal="center"/>
    </xf>
    <xf numFmtId="0" fontId="0" fillId="0" borderId="2" xfId="0" applyBorder="1" applyAlignment="1">
      <alignment horizontal="right"/>
    </xf>
    <xf numFmtId="0" fontId="0" fillId="0" borderId="13" xfId="0" applyBorder="1" applyAlignment="1">
      <alignment horizontal="right"/>
    </xf>
    <xf numFmtId="0" fontId="52" fillId="6" borderId="14" xfId="0" applyFont="1" applyFill="1" applyBorder="1"/>
    <xf numFmtId="164" fontId="26" fillId="3" borderId="14" xfId="0" applyNumberFormat="1" applyFont="1" applyFill="1" applyBorder="1" applyAlignment="1" applyProtection="1">
      <alignment horizontal="center"/>
      <protection locked="0"/>
    </xf>
    <xf numFmtId="14" fontId="26" fillId="0" borderId="0" xfId="0" applyNumberFormat="1" applyFont="1" applyAlignment="1">
      <alignment horizontal="center" vertical="top"/>
    </xf>
    <xf numFmtId="14" fontId="26" fillId="0" borderId="0" xfId="0" applyNumberFormat="1" applyFont="1" applyAlignment="1">
      <alignment horizontal="right" vertical="top"/>
    </xf>
    <xf numFmtId="0" fontId="26" fillId="0" borderId="0" xfId="0" applyFont="1"/>
    <xf numFmtId="14" fontId="26" fillId="3" borderId="21" xfId="0" applyNumberFormat="1" applyFont="1" applyFill="1" applyBorder="1" applyAlignment="1" applyProtection="1">
      <alignment horizontal="center"/>
      <protection locked="0"/>
    </xf>
    <xf numFmtId="14" fontId="26" fillId="6" borderId="0" xfId="0" applyNumberFormat="1" applyFont="1" applyFill="1" applyAlignment="1" applyProtection="1">
      <alignment horizontal="center"/>
      <protection hidden="1"/>
    </xf>
    <xf numFmtId="0" fontId="26" fillId="0" borderId="2" xfId="0" applyFont="1" applyBorder="1"/>
    <xf numFmtId="0" fontId="26" fillId="0" borderId="3" xfId="0" applyFont="1" applyBorder="1"/>
    <xf numFmtId="0" fontId="26" fillId="0" borderId="4" xfId="0" applyFont="1" applyBorder="1"/>
    <xf numFmtId="0" fontId="26" fillId="0" borderId="5" xfId="0" applyFont="1" applyBorder="1"/>
    <xf numFmtId="0" fontId="26" fillId="0" borderId="6" xfId="0" applyFont="1" applyBorder="1"/>
    <xf numFmtId="0" fontId="26" fillId="0" borderId="7" xfId="0" applyFont="1" applyBorder="1"/>
    <xf numFmtId="0" fontId="26" fillId="0" borderId="8" xfId="0" applyFont="1" applyBorder="1"/>
    <xf numFmtId="10" fontId="58" fillId="15" borderId="14" xfId="3" applyNumberFormat="1" applyFont="1" applyFill="1" applyBorder="1"/>
    <xf numFmtId="0" fontId="26" fillId="15" borderId="14" xfId="0" applyFont="1" applyFill="1" applyBorder="1"/>
    <xf numFmtId="0" fontId="26" fillId="15" borderId="14" xfId="0" applyFont="1" applyFill="1" applyBorder="1" applyAlignment="1">
      <alignment wrapText="1"/>
    </xf>
    <xf numFmtId="0" fontId="26" fillId="6" borderId="12" xfId="0" applyFont="1" applyFill="1" applyBorder="1" applyAlignment="1">
      <alignment horizontal="left" vertical="top"/>
    </xf>
    <xf numFmtId="0" fontId="26" fillId="6" borderId="13" xfId="0" applyFont="1" applyFill="1" applyBorder="1" applyAlignment="1">
      <alignment horizontal="left" vertical="top"/>
    </xf>
    <xf numFmtId="10" fontId="58" fillId="15" borderId="14" xfId="3" applyNumberFormat="1" applyFont="1" applyFill="1" applyBorder="1" applyAlignment="1" applyProtection="1"/>
    <xf numFmtId="164" fontId="26" fillId="0" borderId="0" xfId="0" applyNumberFormat="1" applyFont="1"/>
    <xf numFmtId="0" fontId="26" fillId="0" borderId="0" xfId="0" applyFont="1" applyAlignment="1">
      <alignment horizontal="center"/>
    </xf>
    <xf numFmtId="0" fontId="123" fillId="0" borderId="2" xfId="0" applyFont="1" applyBorder="1"/>
    <xf numFmtId="0" fontId="53" fillId="0" borderId="3" xfId="0" applyFont="1" applyBorder="1"/>
    <xf numFmtId="0" fontId="26" fillId="7" borderId="4" xfId="0" applyFont="1" applyFill="1" applyBorder="1"/>
    <xf numFmtId="0" fontId="0" fillId="6" borderId="13" xfId="0" applyFill="1" applyBorder="1" applyAlignment="1">
      <alignment wrapText="1"/>
    </xf>
    <xf numFmtId="180" fontId="58" fillId="14" borderId="72" xfId="0" applyNumberFormat="1" applyFont="1" applyFill="1" applyBorder="1"/>
    <xf numFmtId="180" fontId="85" fillId="14" borderId="72" xfId="0" applyNumberFormat="1" applyFont="1" applyFill="1" applyBorder="1"/>
    <xf numFmtId="44" fontId="58" fillId="14" borderId="48" xfId="0" applyNumberFormat="1" applyFont="1" applyFill="1" applyBorder="1"/>
    <xf numFmtId="44" fontId="63" fillId="14" borderId="48" xfId="0" applyNumberFormat="1" applyFont="1" applyFill="1" applyBorder="1"/>
    <xf numFmtId="44" fontId="85" fillId="14" borderId="48" xfId="0" applyNumberFormat="1" applyFont="1" applyFill="1" applyBorder="1"/>
    <xf numFmtId="180" fontId="63" fillId="14" borderId="72" xfId="0" applyNumberFormat="1" applyFont="1" applyFill="1" applyBorder="1"/>
    <xf numFmtId="4" fontId="58" fillId="0" borderId="0" xfId="0" applyNumberFormat="1" applyFont="1" applyAlignment="1" applyProtection="1">
      <alignment horizontal="right"/>
      <protection hidden="1"/>
    </xf>
    <xf numFmtId="0" fontId="102" fillId="0" borderId="0" xfId="0" applyFont="1" applyProtection="1">
      <protection hidden="1"/>
    </xf>
    <xf numFmtId="44" fontId="0" fillId="29" borderId="0" xfId="0" applyNumberFormat="1" applyFill="1"/>
    <xf numFmtId="164" fontId="0" fillId="29" borderId="0" xfId="0" applyNumberFormat="1" applyFill="1"/>
    <xf numFmtId="165" fontId="0" fillId="29" borderId="0" xfId="0" applyNumberFormat="1" applyFill="1"/>
    <xf numFmtId="181" fontId="0" fillId="29" borderId="0" xfId="0" applyNumberFormat="1" applyFill="1"/>
    <xf numFmtId="0" fontId="52" fillId="2" borderId="0" xfId="0" applyFont="1" applyFill="1" applyProtection="1">
      <protection hidden="1"/>
    </xf>
    <xf numFmtId="0" fontId="0" fillId="6" borderId="0" xfId="0" applyFill="1" applyAlignment="1" applyProtection="1">
      <alignment horizontal="center" vertical="center"/>
      <protection hidden="1"/>
    </xf>
    <xf numFmtId="10" fontId="0" fillId="6" borderId="0" xfId="0" applyNumberFormat="1" applyFill="1" applyProtection="1">
      <protection hidden="1"/>
    </xf>
    <xf numFmtId="9" fontId="0" fillId="6" borderId="0" xfId="0" applyNumberFormat="1" applyFill="1" applyProtection="1">
      <protection hidden="1"/>
    </xf>
    <xf numFmtId="0" fontId="103" fillId="6" borderId="0" xfId="0" applyFont="1" applyFill="1" applyProtection="1">
      <protection hidden="1"/>
    </xf>
    <xf numFmtId="0" fontId="27" fillId="6" borderId="0" xfId="0" applyFont="1" applyFill="1" applyProtection="1">
      <protection hidden="1"/>
    </xf>
    <xf numFmtId="10" fontId="58" fillId="6" borderId="0" xfId="0" applyNumberFormat="1" applyFont="1" applyFill="1" applyProtection="1">
      <protection hidden="1"/>
    </xf>
    <xf numFmtId="4" fontId="53" fillId="0" borderId="0" xfId="0" applyNumberFormat="1" applyFont="1" applyAlignment="1" applyProtection="1">
      <alignment horizontal="left"/>
      <protection hidden="1"/>
    </xf>
    <xf numFmtId="4" fontId="53" fillId="6" borderId="0" xfId="0" applyNumberFormat="1" applyFont="1" applyFill="1" applyAlignment="1" applyProtection="1">
      <alignment horizontal="left"/>
      <protection hidden="1"/>
    </xf>
    <xf numFmtId="44" fontId="0" fillId="6" borderId="0" xfId="0" applyNumberFormat="1" applyFill="1" applyProtection="1">
      <protection hidden="1"/>
    </xf>
    <xf numFmtId="0" fontId="38" fillId="6" borderId="0" xfId="0" applyFont="1" applyFill="1" applyAlignment="1" applyProtection="1">
      <alignment horizontal="center"/>
      <protection hidden="1"/>
    </xf>
    <xf numFmtId="0" fontId="124" fillId="0" borderId="0" xfId="0" applyFont="1" applyProtection="1">
      <protection hidden="1"/>
    </xf>
    <xf numFmtId="0" fontId="0" fillId="19" borderId="0" xfId="0" applyFill="1" applyProtection="1">
      <protection hidden="1"/>
    </xf>
    <xf numFmtId="0" fontId="107" fillId="0" borderId="7" xfId="0" applyFont="1" applyBorder="1" applyAlignment="1" applyProtection="1">
      <alignment horizontal="left" wrapText="1"/>
      <protection hidden="1"/>
    </xf>
    <xf numFmtId="181" fontId="107" fillId="0" borderId="7" xfId="2" applyNumberFormat="1" applyFont="1" applyFill="1" applyBorder="1" applyAlignment="1" applyProtection="1">
      <alignment horizontal="center" vertical="center"/>
      <protection hidden="1"/>
    </xf>
    <xf numFmtId="0" fontId="107" fillId="23" borderId="22" xfId="0" applyFont="1" applyFill="1" applyBorder="1" applyAlignment="1" applyProtection="1">
      <alignment horizontal="left" wrapText="1"/>
      <protection hidden="1"/>
    </xf>
    <xf numFmtId="181" fontId="107" fillId="23" borderId="70" xfId="2" applyNumberFormat="1" applyFont="1" applyFill="1" applyBorder="1" applyAlignment="1" applyProtection="1">
      <alignment horizontal="center" vertical="center"/>
      <protection hidden="1"/>
    </xf>
    <xf numFmtId="181" fontId="107" fillId="23" borderId="23" xfId="2" applyNumberFormat="1" applyFont="1" applyFill="1" applyBorder="1" applyAlignment="1" applyProtection="1">
      <alignment horizontal="center" vertical="center"/>
      <protection hidden="1"/>
    </xf>
    <xf numFmtId="4" fontId="37" fillId="24" borderId="47" xfId="0" applyNumberFormat="1" applyFont="1" applyFill="1" applyBorder="1" applyAlignment="1" applyProtection="1">
      <alignment horizontal="left"/>
      <protection hidden="1"/>
    </xf>
    <xf numFmtId="44" fontId="29" fillId="6" borderId="34" xfId="2" applyFont="1" applyFill="1" applyBorder="1" applyProtection="1">
      <protection hidden="1"/>
    </xf>
    <xf numFmtId="44" fontId="29" fillId="6" borderId="50" xfId="2" applyFont="1" applyFill="1" applyBorder="1" applyProtection="1">
      <protection hidden="1"/>
    </xf>
    <xf numFmtId="2" fontId="38" fillId="6" borderId="76" xfId="0" applyNumberFormat="1" applyFont="1" applyFill="1" applyBorder="1" applyProtection="1">
      <protection hidden="1"/>
    </xf>
    <xf numFmtId="4" fontId="59" fillId="24" borderId="47" xfId="0" applyNumberFormat="1" applyFont="1" applyFill="1" applyBorder="1" applyAlignment="1" applyProtection="1">
      <alignment horizontal="left" wrapText="1"/>
      <protection hidden="1"/>
    </xf>
    <xf numFmtId="165" fontId="37" fillId="0" borderId="34" xfId="0" applyNumberFormat="1" applyFont="1" applyBorder="1" applyAlignment="1" applyProtection="1">
      <alignment horizontal="center" vertical="center"/>
      <protection hidden="1"/>
    </xf>
    <xf numFmtId="165" fontId="37" fillId="0" borderId="50" xfId="0" applyNumberFormat="1" applyFont="1" applyBorder="1" applyAlignment="1" applyProtection="1">
      <alignment horizontal="center" vertical="center"/>
      <protection hidden="1"/>
    </xf>
    <xf numFmtId="0" fontId="25" fillId="7" borderId="4" xfId="0" applyFont="1" applyFill="1" applyBorder="1"/>
    <xf numFmtId="0" fontId="26" fillId="7" borderId="6" xfId="0" applyFont="1" applyFill="1" applyBorder="1"/>
    <xf numFmtId="9" fontId="26" fillId="6" borderId="4" xfId="0" applyNumberFormat="1" applyFont="1" applyFill="1" applyBorder="1"/>
    <xf numFmtId="0" fontId="26" fillId="15" borderId="4" xfId="0" applyFont="1" applyFill="1" applyBorder="1" applyAlignment="1">
      <alignment horizontal="center"/>
    </xf>
    <xf numFmtId="0" fontId="122" fillId="29" borderId="5" xfId="0" applyFont="1" applyFill="1" applyBorder="1" applyAlignment="1" applyProtection="1">
      <alignment horizontal="center"/>
      <protection hidden="1"/>
    </xf>
    <xf numFmtId="2" fontId="58" fillId="19" borderId="0" xfId="0" applyNumberFormat="1" applyFont="1" applyFill="1" applyAlignment="1" applyProtection="1">
      <alignment horizontal="right"/>
      <protection hidden="1"/>
    </xf>
    <xf numFmtId="0" fontId="69" fillId="0" borderId="0" xfId="0" applyFont="1" applyAlignment="1" applyProtection="1">
      <alignment vertical="top"/>
      <protection hidden="1"/>
    </xf>
    <xf numFmtId="0" fontId="0" fillId="14" borderId="12" xfId="0" applyFill="1" applyBorder="1" applyAlignment="1">
      <alignment horizontal="center" vertical="center"/>
    </xf>
    <xf numFmtId="0" fontId="0" fillId="14" borderId="14" xfId="0" applyFill="1" applyBorder="1" applyAlignment="1">
      <alignment horizontal="center" vertical="center"/>
    </xf>
    <xf numFmtId="0" fontId="125" fillId="6" borderId="0" xfId="0" applyFont="1" applyFill="1"/>
    <xf numFmtId="0" fontId="61" fillId="0" borderId="0" xfId="1" applyBorder="1" applyAlignment="1" applyProtection="1">
      <alignment horizontal="left"/>
    </xf>
    <xf numFmtId="0" fontId="94" fillId="6" borderId="0" xfId="1" applyFont="1" applyFill="1" applyBorder="1" applyAlignment="1" applyProtection="1"/>
    <xf numFmtId="0" fontId="74" fillId="6" borderId="2" xfId="0" applyFont="1" applyFill="1" applyBorder="1"/>
    <xf numFmtId="0" fontId="74" fillId="6" borderId="3" xfId="0" applyFont="1" applyFill="1" applyBorder="1"/>
    <xf numFmtId="0" fontId="74" fillId="6" borderId="4" xfId="0" applyFont="1" applyFill="1" applyBorder="1"/>
    <xf numFmtId="0" fontId="74" fillId="6" borderId="6" xfId="0" applyFont="1" applyFill="1" applyBorder="1"/>
    <xf numFmtId="0" fontId="54" fillId="7" borderId="14" xfId="0" applyFont="1" applyFill="1" applyBorder="1" applyAlignment="1">
      <alignment horizontal="center" vertical="center"/>
    </xf>
    <xf numFmtId="0" fontId="48" fillId="7" borderId="14" xfId="0" applyFont="1" applyFill="1" applyBorder="1" applyAlignment="1">
      <alignment horizontal="center" vertical="center"/>
    </xf>
    <xf numFmtId="14" fontId="58" fillId="29" borderId="0" xfId="0" applyNumberFormat="1" applyFont="1" applyFill="1" applyAlignment="1" applyProtection="1">
      <alignment horizontal="left"/>
      <protection hidden="1"/>
    </xf>
    <xf numFmtId="0" fontId="26" fillId="6" borderId="12" xfId="0" applyFont="1" applyFill="1" applyBorder="1" applyAlignment="1">
      <alignment horizontal="left" vertical="top" wrapText="1"/>
    </xf>
    <xf numFmtId="0" fontId="26" fillId="6" borderId="13" xfId="0" applyFont="1" applyFill="1" applyBorder="1" applyAlignment="1">
      <alignment horizontal="left" vertical="top" wrapText="1"/>
    </xf>
    <xf numFmtId="0" fontId="22" fillId="0" borderId="12" xfId="0" applyFont="1" applyBorder="1"/>
    <xf numFmtId="0" fontId="26" fillId="0" borderId="13" xfId="0" applyFont="1" applyBorder="1"/>
    <xf numFmtId="0" fontId="53" fillId="2" borderId="14" xfId="0" applyFont="1" applyFill="1" applyBorder="1" applyAlignment="1">
      <alignment horizontal="center" vertical="center" wrapText="1"/>
    </xf>
    <xf numFmtId="0" fontId="0" fillId="2" borderId="14" xfId="0" applyFill="1" applyBorder="1" applyAlignment="1">
      <alignment horizontal="center" vertical="center" wrapText="1"/>
    </xf>
    <xf numFmtId="0" fontId="58" fillId="0" borderId="4" xfId="0" applyFont="1" applyBorder="1"/>
    <xf numFmtId="0" fontId="58" fillId="29" borderId="0" xfId="0" applyFont="1" applyFill="1" applyAlignment="1" applyProtection="1">
      <alignment horizontal="right" vertical="center"/>
      <protection hidden="1"/>
    </xf>
    <xf numFmtId="49" fontId="0" fillId="0" borderId="0" xfId="0" applyNumberFormat="1"/>
    <xf numFmtId="14" fontId="47" fillId="0" borderId="0" xfId="0" applyNumberFormat="1" applyFont="1" applyAlignment="1">
      <alignment horizontal="center"/>
    </xf>
    <xf numFmtId="14" fontId="21" fillId="3" borderId="14" xfId="0" applyNumberFormat="1" applyFont="1" applyFill="1" applyBorder="1" applyAlignment="1" applyProtection="1">
      <alignment horizontal="center"/>
      <protection locked="0"/>
    </xf>
    <xf numFmtId="14" fontId="58" fillId="19" borderId="0" xfId="0" applyNumberFormat="1" applyFont="1" applyFill="1" applyAlignment="1">
      <alignment horizontal="center" vertical="top"/>
    </xf>
    <xf numFmtId="0" fontId="122" fillId="32" borderId="0" xfId="0" applyFont="1" applyFill="1"/>
    <xf numFmtId="0" fontId="0" fillId="2" borderId="13" xfId="0" applyFill="1" applyBorder="1" applyAlignment="1">
      <alignment horizontal="center"/>
    </xf>
    <xf numFmtId="10" fontId="26" fillId="0" borderId="14" xfId="3" applyNumberFormat="1" applyFont="1" applyFill="1" applyBorder="1"/>
    <xf numFmtId="10" fontId="58" fillId="15" borderId="14" xfId="3" applyNumberFormat="1" applyFont="1" applyFill="1" applyBorder="1" applyAlignment="1" applyProtection="1">
      <alignment wrapText="1"/>
    </xf>
    <xf numFmtId="0" fontId="20" fillId="0" borderId="14" xfId="0" applyFont="1" applyBorder="1" applyAlignment="1">
      <alignment horizontal="center"/>
    </xf>
    <xf numFmtId="0" fontId="26" fillId="6" borderId="14" xfId="0" applyFont="1" applyFill="1" applyBorder="1" applyAlignment="1">
      <alignment vertical="top"/>
    </xf>
    <xf numFmtId="10" fontId="20" fillId="6" borderId="14" xfId="3" applyNumberFormat="1" applyFont="1" applyFill="1" applyBorder="1" applyAlignment="1">
      <alignment horizontal="center" vertical="center" wrapText="1"/>
    </xf>
    <xf numFmtId="0" fontId="0" fillId="17" borderId="20" xfId="0" applyFill="1" applyBorder="1" applyProtection="1">
      <protection hidden="1"/>
    </xf>
    <xf numFmtId="44" fontId="27" fillId="17" borderId="1" xfId="2" applyFont="1" applyFill="1" applyBorder="1" applyProtection="1">
      <protection hidden="1"/>
    </xf>
    <xf numFmtId="44" fontId="40" fillId="14" borderId="20" xfId="2" applyFont="1" applyFill="1" applyBorder="1" applyProtection="1">
      <protection hidden="1"/>
    </xf>
    <xf numFmtId="44" fontId="27" fillId="14" borderId="20" xfId="2" applyFont="1" applyFill="1" applyBorder="1" applyProtection="1">
      <protection hidden="1"/>
    </xf>
    <xf numFmtId="44" fontId="40" fillId="14" borderId="77" xfId="2" applyFont="1" applyFill="1" applyBorder="1" applyProtection="1">
      <protection hidden="1"/>
    </xf>
    <xf numFmtId="44" fontId="104" fillId="16" borderId="35" xfId="2" applyFont="1" applyFill="1" applyBorder="1" applyProtection="1">
      <protection hidden="1"/>
    </xf>
    <xf numFmtId="0" fontId="0" fillId="7" borderId="62" xfId="0" applyFill="1" applyBorder="1" applyAlignment="1" applyProtection="1">
      <alignment wrapText="1"/>
      <protection hidden="1"/>
    </xf>
    <xf numFmtId="44" fontId="27" fillId="7" borderId="63" xfId="2" applyFont="1" applyFill="1" applyBorder="1" applyProtection="1">
      <protection hidden="1"/>
    </xf>
    <xf numFmtId="0" fontId="0" fillId="19" borderId="12" xfId="0" applyFill="1" applyBorder="1" applyProtection="1">
      <protection hidden="1"/>
    </xf>
    <xf numFmtId="44" fontId="27" fillId="19" borderId="18" xfId="2" applyFont="1" applyFill="1" applyBorder="1" applyProtection="1">
      <protection hidden="1"/>
    </xf>
    <xf numFmtId="44" fontId="40" fillId="14" borderId="14" xfId="2" applyFont="1" applyFill="1" applyBorder="1" applyProtection="1">
      <protection hidden="1"/>
    </xf>
    <xf numFmtId="44" fontId="27" fillId="14" borderId="14" xfId="2" applyFont="1" applyFill="1" applyBorder="1" applyProtection="1">
      <protection hidden="1"/>
    </xf>
    <xf numFmtId="44" fontId="40" fillId="14" borderId="68" xfId="2" applyFont="1" applyFill="1" applyBorder="1" applyProtection="1">
      <protection hidden="1"/>
    </xf>
    <xf numFmtId="44" fontId="104" fillId="16" borderId="51" xfId="2" applyFont="1" applyFill="1" applyBorder="1" applyProtection="1">
      <protection hidden="1"/>
    </xf>
    <xf numFmtId="44" fontId="40" fillId="16" borderId="20" xfId="2" applyFont="1" applyFill="1" applyBorder="1" applyProtection="1">
      <protection hidden="1"/>
    </xf>
    <xf numFmtId="44" fontId="40" fillId="16" borderId="14" xfId="2" applyFont="1" applyFill="1" applyBorder="1" applyProtection="1">
      <protection hidden="1"/>
    </xf>
    <xf numFmtId="44" fontId="40" fillId="16" borderId="59" xfId="2" applyFont="1" applyFill="1" applyBorder="1" applyProtection="1">
      <protection hidden="1"/>
    </xf>
    <xf numFmtId="44" fontId="40" fillId="16" borderId="78" xfId="2" applyFont="1" applyFill="1" applyBorder="1" applyProtection="1">
      <protection hidden="1"/>
    </xf>
    <xf numFmtId="44" fontId="40" fillId="16" borderId="21" xfId="2" applyFont="1" applyFill="1" applyBorder="1" applyProtection="1">
      <protection hidden="1"/>
    </xf>
    <xf numFmtId="44" fontId="53" fillId="16" borderId="48" xfId="2" applyFont="1" applyFill="1" applyBorder="1" applyProtection="1">
      <protection hidden="1"/>
    </xf>
    <xf numFmtId="10" fontId="58" fillId="6" borderId="7" xfId="0" applyNumberFormat="1" applyFont="1" applyFill="1" applyBorder="1" applyProtection="1">
      <protection hidden="1"/>
    </xf>
    <xf numFmtId="44" fontId="104" fillId="16" borderId="54" xfId="2" applyFont="1" applyFill="1" applyBorder="1" applyProtection="1">
      <protection hidden="1"/>
    </xf>
    <xf numFmtId="0" fontId="50" fillId="2" borderId="0" xfId="0" applyFont="1" applyFill="1" applyAlignment="1" applyProtection="1">
      <alignment horizontal="center" vertical="center" wrapText="1"/>
      <protection hidden="1"/>
    </xf>
    <xf numFmtId="0" fontId="53" fillId="2" borderId="0" xfId="0" applyFont="1" applyFill="1" applyProtection="1">
      <protection hidden="1"/>
    </xf>
    <xf numFmtId="14" fontId="52" fillId="2" borderId="0" xfId="0" applyNumberFormat="1" applyFont="1" applyFill="1" applyAlignment="1" applyProtection="1">
      <alignment vertical="center" wrapText="1"/>
      <protection hidden="1"/>
    </xf>
    <xf numFmtId="0" fontId="52" fillId="2" borderId="0" xfId="0" applyFont="1" applyFill="1" applyAlignment="1" applyProtection="1">
      <alignment horizontal="left"/>
      <protection hidden="1"/>
    </xf>
    <xf numFmtId="0" fontId="40" fillId="6" borderId="0" xfId="0" applyFont="1" applyFill="1" applyAlignment="1" applyProtection="1">
      <alignment horizontal="left"/>
      <protection hidden="1"/>
    </xf>
    <xf numFmtId="0" fontId="54" fillId="0" borderId="0" xfId="0" applyFont="1" applyAlignment="1" applyProtection="1">
      <alignment horizontal="center" vertical="center"/>
      <protection hidden="1"/>
    </xf>
    <xf numFmtId="0" fontId="53" fillId="0" borderId="0" xfId="0" applyFont="1" applyAlignment="1" applyProtection="1">
      <alignment horizontal="center" vertical="center"/>
      <protection hidden="1"/>
    </xf>
    <xf numFmtId="0" fontId="19" fillId="0" borderId="0" xfId="0" applyFont="1" applyProtection="1">
      <protection hidden="1"/>
    </xf>
    <xf numFmtId="0" fontId="19" fillId="6" borderId="0" xfId="0" applyFont="1" applyFill="1" applyProtection="1">
      <protection hidden="1"/>
    </xf>
    <xf numFmtId="44" fontId="59" fillId="6" borderId="14" xfId="0" applyNumberFormat="1" applyFont="1" applyFill="1" applyBorder="1" applyAlignment="1" applyProtection="1">
      <alignment horizontal="right"/>
      <protection hidden="1"/>
    </xf>
    <xf numFmtId="0" fontId="49" fillId="2" borderId="5" xfId="0" applyFont="1" applyFill="1" applyBorder="1" applyAlignment="1" applyProtection="1">
      <alignment wrapText="1"/>
      <protection hidden="1"/>
    </xf>
    <xf numFmtId="0" fontId="126" fillId="0" borderId="0" xfId="0" applyFont="1" applyProtection="1">
      <protection hidden="1"/>
    </xf>
    <xf numFmtId="0" fontId="59" fillId="6" borderId="0" xfId="0" applyFont="1" applyFill="1" applyAlignment="1" applyProtection="1">
      <alignment horizontal="left"/>
      <protection hidden="1"/>
    </xf>
    <xf numFmtId="0" fontId="0" fillId="6" borderId="4" xfId="0" applyFill="1" applyBorder="1" applyAlignment="1" applyProtection="1">
      <alignment horizontal="left" vertical="top"/>
      <protection hidden="1"/>
    </xf>
    <xf numFmtId="0" fontId="40" fillId="6" borderId="0" xfId="0" applyFont="1" applyFill="1" applyAlignment="1" applyProtection="1">
      <alignment horizontal="left" vertical="top"/>
      <protection hidden="1"/>
    </xf>
    <xf numFmtId="0" fontId="0" fillId="6" borderId="0" xfId="0" applyFill="1" applyAlignment="1" applyProtection="1">
      <alignment horizontal="left" vertical="top"/>
      <protection hidden="1"/>
    </xf>
    <xf numFmtId="0" fontId="0" fillId="0" borderId="5" xfId="0" applyBorder="1" applyAlignment="1" applyProtection="1">
      <alignment horizontal="left" vertical="top"/>
      <protection hidden="1"/>
    </xf>
    <xf numFmtId="0" fontId="0" fillId="0" borderId="0" xfId="0" applyAlignment="1" applyProtection="1">
      <alignment horizontal="left" vertical="top"/>
      <protection hidden="1"/>
    </xf>
    <xf numFmtId="0" fontId="19" fillId="0" borderId="12" xfId="0" applyFont="1" applyBorder="1" applyProtection="1">
      <protection hidden="1"/>
    </xf>
    <xf numFmtId="0" fontId="0" fillId="0" borderId="13" xfId="0" applyBorder="1" applyProtection="1">
      <protection hidden="1"/>
    </xf>
    <xf numFmtId="0" fontId="53" fillId="0" borderId="0" xfId="0" applyFont="1" applyAlignment="1" applyProtection="1">
      <alignment horizontal="left" vertical="top"/>
      <protection hidden="1"/>
    </xf>
    <xf numFmtId="14" fontId="53" fillId="6" borderId="0" xfId="0" applyNumberFormat="1" applyFont="1" applyFill="1" applyAlignment="1" applyProtection="1">
      <alignment vertical="center"/>
      <protection hidden="1"/>
    </xf>
    <xf numFmtId="1" fontId="19" fillId="6" borderId="14" xfId="0" applyNumberFormat="1" applyFont="1" applyFill="1" applyBorder="1" applyAlignment="1" applyProtection="1">
      <alignment horizontal="center" vertical="center"/>
      <protection hidden="1"/>
    </xf>
    <xf numFmtId="189" fontId="59" fillId="6" borderId="14" xfId="0" applyNumberFormat="1" applyFont="1" applyFill="1" applyBorder="1" applyAlignment="1" applyProtection="1">
      <alignment horizontal="center" vertical="center"/>
      <protection hidden="1"/>
    </xf>
    <xf numFmtId="0" fontId="40" fillId="6" borderId="0" xfId="0" applyFont="1" applyFill="1" applyAlignment="1" applyProtection="1">
      <alignment horizontal="center" vertical="center"/>
      <protection hidden="1"/>
    </xf>
    <xf numFmtId="189" fontId="40" fillId="6" borderId="14" xfId="0" applyNumberFormat="1" applyFont="1" applyFill="1" applyBorder="1" applyAlignment="1" applyProtection="1">
      <alignment horizontal="center" vertical="center"/>
      <protection hidden="1"/>
    </xf>
    <xf numFmtId="0" fontId="59" fillId="6" borderId="14" xfId="0" applyFont="1" applyFill="1" applyBorder="1" applyAlignment="1" applyProtection="1">
      <alignment horizontal="center" vertical="center"/>
      <protection hidden="1"/>
    </xf>
    <xf numFmtId="0" fontId="59" fillId="6" borderId="0" xfId="0" applyFont="1" applyFill="1" applyAlignment="1" applyProtection="1">
      <alignment horizontal="center" vertical="center"/>
      <protection hidden="1"/>
    </xf>
    <xf numFmtId="2" fontId="59" fillId="7" borderId="7" xfId="0" applyNumberFormat="1" applyFont="1" applyFill="1" applyBorder="1" applyAlignment="1" applyProtection="1">
      <alignment horizontal="right"/>
      <protection hidden="1"/>
    </xf>
    <xf numFmtId="0" fontId="59" fillId="2" borderId="6" xfId="0" applyFont="1" applyFill="1" applyBorder="1" applyAlignment="1" applyProtection="1">
      <alignment horizontal="left"/>
      <protection hidden="1"/>
    </xf>
    <xf numFmtId="14" fontId="127" fillId="0" borderId="0" xfId="0" applyNumberFormat="1" applyFont="1" applyAlignment="1" applyProtection="1">
      <alignment horizontal="left"/>
      <protection hidden="1"/>
    </xf>
    <xf numFmtId="0" fontId="19" fillId="6" borderId="2" xfId="0" applyFont="1" applyFill="1" applyBorder="1" applyProtection="1">
      <protection hidden="1"/>
    </xf>
    <xf numFmtId="0" fontId="51" fillId="6" borderId="0" xfId="0" applyFont="1" applyFill="1" applyAlignment="1" applyProtection="1">
      <alignment vertical="top"/>
      <protection hidden="1"/>
    </xf>
    <xf numFmtId="0" fontId="18" fillId="0" borderId="0" xfId="0" applyFont="1" applyProtection="1">
      <protection hidden="1"/>
    </xf>
    <xf numFmtId="44" fontId="18" fillId="6" borderId="14" xfId="0" applyNumberFormat="1" applyFont="1" applyFill="1" applyBorder="1" applyProtection="1">
      <protection hidden="1"/>
    </xf>
    <xf numFmtId="0" fontId="0" fillId="0" borderId="0" xfId="0" applyAlignment="1" applyProtection="1">
      <alignment horizontal="center" vertical="center" wrapText="1"/>
      <protection hidden="1"/>
    </xf>
    <xf numFmtId="0" fontId="0" fillId="6" borderId="0" xfId="0" applyFill="1" applyAlignment="1" applyProtection="1">
      <alignment vertical="center"/>
      <protection hidden="1"/>
    </xf>
    <xf numFmtId="0" fontId="49" fillId="29" borderId="0" xfId="0" applyFont="1" applyFill="1" applyProtection="1">
      <protection hidden="1"/>
    </xf>
    <xf numFmtId="0" fontId="0" fillId="16" borderId="14" xfId="0" applyFill="1" applyBorder="1"/>
    <xf numFmtId="0" fontId="61" fillId="0" borderId="0" xfId="1" quotePrefix="1" applyAlignment="1" applyProtection="1"/>
    <xf numFmtId="0" fontId="61" fillId="0" borderId="0" xfId="1" applyFill="1" applyBorder="1" applyAlignment="1" applyProtection="1">
      <alignment horizontal="center" wrapText="1"/>
    </xf>
    <xf numFmtId="0" fontId="61" fillId="0" borderId="0" xfId="1" applyFill="1" applyBorder="1" applyAlignment="1" applyProtection="1"/>
    <xf numFmtId="0" fontId="58" fillId="29" borderId="0" xfId="0" applyFont="1" applyFill="1" applyAlignment="1" applyProtection="1">
      <alignment horizontal="left" vertical="top"/>
      <protection hidden="1"/>
    </xf>
    <xf numFmtId="0" fontId="50" fillId="2" borderId="4" xfId="0" applyFont="1" applyFill="1" applyBorder="1" applyAlignment="1">
      <alignment horizontal="center"/>
    </xf>
    <xf numFmtId="191" fontId="59" fillId="2" borderId="3" xfId="0" applyNumberFormat="1" applyFont="1" applyFill="1" applyBorder="1" applyAlignment="1" applyProtection="1">
      <alignment horizontal="left"/>
      <protection hidden="1"/>
    </xf>
    <xf numFmtId="191" fontId="52" fillId="2" borderId="7" xfId="0" applyNumberFormat="1" applyFont="1" applyFill="1" applyBorder="1" applyProtection="1">
      <protection hidden="1"/>
    </xf>
    <xf numFmtId="14" fontId="53" fillId="7" borderId="14" xfId="0" applyNumberFormat="1" applyFont="1" applyFill="1" applyBorder="1" applyAlignment="1" applyProtection="1">
      <alignment horizontal="center" vertical="center"/>
      <protection hidden="1"/>
    </xf>
    <xf numFmtId="191" fontId="15" fillId="2" borderId="5" xfId="0" applyNumberFormat="1" applyFont="1" applyFill="1" applyBorder="1"/>
    <xf numFmtId="178" fontId="59" fillId="2" borderId="2" xfId="0" applyNumberFormat="1" applyFont="1" applyFill="1" applyBorder="1" applyAlignment="1" applyProtection="1">
      <alignment horizontal="left"/>
      <protection hidden="1"/>
    </xf>
    <xf numFmtId="0" fontId="59" fillId="2" borderId="7" xfId="0" applyFont="1" applyFill="1" applyBorder="1" applyAlignment="1" applyProtection="1">
      <alignment horizontal="left"/>
      <protection hidden="1"/>
    </xf>
    <xf numFmtId="0" fontId="97" fillId="0" borderId="0" xfId="0" applyFont="1" applyProtection="1">
      <protection hidden="1"/>
    </xf>
    <xf numFmtId="0" fontId="19" fillId="0" borderId="0" xfId="0" applyFont="1" applyAlignment="1" applyProtection="1">
      <alignment horizontal="center"/>
      <protection hidden="1"/>
    </xf>
    <xf numFmtId="0" fontId="59" fillId="0" borderId="0" xfId="0" applyFont="1" applyAlignment="1" applyProtection="1">
      <alignment horizontal="left" vertical="top"/>
      <protection hidden="1"/>
    </xf>
    <xf numFmtId="0" fontId="58" fillId="0" borderId="0" xfId="0" applyFont="1" applyAlignment="1" applyProtection="1">
      <alignment horizontal="left" vertical="top"/>
      <protection hidden="1"/>
    </xf>
    <xf numFmtId="0" fontId="39" fillId="0" borderId="0" xfId="0" applyFont="1" applyAlignment="1" applyProtection="1">
      <alignment horizontal="left" vertical="top"/>
      <protection hidden="1"/>
    </xf>
    <xf numFmtId="0" fontId="59" fillId="0" borderId="0" xfId="0" applyFont="1" applyProtection="1">
      <protection hidden="1"/>
    </xf>
    <xf numFmtId="0" fontId="17" fillId="0" borderId="0" xfId="0" applyFont="1" applyProtection="1">
      <protection hidden="1"/>
    </xf>
    <xf numFmtId="0" fontId="49" fillId="29" borderId="0" xfId="0" applyFont="1" applyFill="1"/>
    <xf numFmtId="0" fontId="14" fillId="15" borderId="14" xfId="0" applyFont="1" applyFill="1" applyBorder="1" applyAlignment="1" applyProtection="1">
      <alignment horizontal="center"/>
      <protection locked="0"/>
    </xf>
    <xf numFmtId="0" fontId="0" fillId="8" borderId="0" xfId="0" applyFill="1" applyAlignment="1">
      <alignment horizontal="left" wrapText="1"/>
    </xf>
    <xf numFmtId="0" fontId="56" fillId="0" borderId="0" xfId="0" applyFont="1" applyProtection="1">
      <protection hidden="1"/>
    </xf>
    <xf numFmtId="0" fontId="0" fillId="0" borderId="7" xfId="0" applyBorder="1" applyAlignment="1">
      <alignment horizontal="right"/>
    </xf>
    <xf numFmtId="2" fontId="52" fillId="8" borderId="7" xfId="0" applyNumberFormat="1" applyFont="1" applyFill="1" applyBorder="1"/>
    <xf numFmtId="14" fontId="97" fillId="0" borderId="0" xfId="0" applyNumberFormat="1" applyFont="1"/>
    <xf numFmtId="3" fontId="0" fillId="15" borderId="14" xfId="0" applyNumberFormat="1" applyFill="1" applyBorder="1" applyProtection="1">
      <protection locked="0"/>
    </xf>
    <xf numFmtId="0" fontId="51" fillId="8" borderId="0" xfId="0" applyFont="1" applyFill="1"/>
    <xf numFmtId="0" fontId="0" fillId="8" borderId="0" xfId="0" applyFill="1" applyAlignment="1">
      <alignment horizontal="center"/>
    </xf>
    <xf numFmtId="0" fontId="52" fillId="8" borderId="0" xfId="0" applyFont="1" applyFill="1" applyAlignment="1">
      <alignment horizontal="center" vertical="center"/>
    </xf>
    <xf numFmtId="0" fontId="0" fillId="8" borderId="0" xfId="0" applyFill="1" applyAlignment="1">
      <alignment horizontal="center" vertical="center" wrapText="1"/>
    </xf>
    <xf numFmtId="0" fontId="0" fillId="8" borderId="0" xfId="0" applyFill="1" applyAlignment="1">
      <alignment horizontal="center" vertical="center"/>
    </xf>
    <xf numFmtId="189" fontId="0" fillId="8" borderId="0" xfId="0" applyNumberFormat="1" applyFill="1"/>
    <xf numFmtId="0" fontId="50" fillId="2" borderId="37" xfId="0" applyFont="1" applyFill="1" applyBorder="1" applyAlignment="1">
      <alignment horizontal="center"/>
    </xf>
    <xf numFmtId="0" fontId="53" fillId="0" borderId="51" xfId="0" applyFont="1" applyBorder="1" applyAlignment="1">
      <alignment horizontal="center"/>
    </xf>
    <xf numFmtId="44" fontId="53" fillId="14" borderId="54" xfId="2" applyFont="1" applyFill="1" applyBorder="1" applyAlignment="1" applyProtection="1">
      <alignment horizontal="center"/>
    </xf>
    <xf numFmtId="0" fontId="13" fillId="0" borderId="0" xfId="0" applyFont="1" applyProtection="1">
      <protection hidden="1"/>
    </xf>
    <xf numFmtId="44" fontId="18" fillId="6" borderId="0" xfId="0" applyNumberFormat="1" applyFont="1" applyFill="1" applyProtection="1">
      <protection hidden="1"/>
    </xf>
    <xf numFmtId="44" fontId="19" fillId="0" borderId="14" xfId="2" applyFont="1" applyFill="1" applyBorder="1" applyAlignment="1" applyProtection="1">
      <alignment horizontal="center" vertical="center"/>
      <protection hidden="1"/>
    </xf>
    <xf numFmtId="0" fontId="0" fillId="0" borderId="14" xfId="0" applyBorder="1" applyAlignment="1" applyProtection="1">
      <alignment horizontal="center" vertical="center"/>
      <protection hidden="1"/>
    </xf>
    <xf numFmtId="0" fontId="12" fillId="0" borderId="0" xfId="0" applyFont="1" applyProtection="1">
      <protection hidden="1"/>
    </xf>
    <xf numFmtId="0" fontId="19" fillId="6" borderId="0" xfId="0" applyFont="1" applyFill="1" applyAlignment="1" applyProtection="1">
      <alignment horizontal="left"/>
      <protection hidden="1"/>
    </xf>
    <xf numFmtId="2" fontId="59" fillId="0" borderId="0" xfId="0" applyNumberFormat="1" applyFont="1" applyAlignment="1" applyProtection="1">
      <alignment horizontal="right"/>
      <protection hidden="1"/>
    </xf>
    <xf numFmtId="0" fontId="0" fillId="0" borderId="14" xfId="0" applyBorder="1" applyAlignment="1" applyProtection="1">
      <alignment horizontal="center" vertical="center" wrapText="1"/>
      <protection hidden="1"/>
    </xf>
    <xf numFmtId="1" fontId="19" fillId="6" borderId="0" xfId="0" applyNumberFormat="1" applyFont="1" applyFill="1" applyAlignment="1" applyProtection="1">
      <alignment horizontal="center" vertical="center"/>
      <protection hidden="1"/>
    </xf>
    <xf numFmtId="172" fontId="0" fillId="0" borderId="0" xfId="0" applyNumberFormat="1" applyAlignment="1">
      <alignment horizontal="center"/>
    </xf>
    <xf numFmtId="10" fontId="69" fillId="6" borderId="0" xfId="0" applyNumberFormat="1" applyFont="1" applyFill="1" applyAlignment="1">
      <alignment horizontal="left" wrapText="1"/>
    </xf>
    <xf numFmtId="172" fontId="0" fillId="6" borderId="0" xfId="0" applyNumberFormat="1" applyFill="1" applyAlignment="1">
      <alignment horizontal="center"/>
    </xf>
    <xf numFmtId="10" fontId="116" fillId="0" borderId="5" xfId="0" applyNumberFormat="1" applyFont="1" applyBorder="1" applyAlignment="1">
      <alignment horizontal="center"/>
    </xf>
    <xf numFmtId="0" fontId="50" fillId="2" borderId="13" xfId="0" applyFont="1" applyFill="1" applyBorder="1" applyAlignment="1">
      <alignment vertical="center"/>
    </xf>
    <xf numFmtId="0" fontId="0" fillId="2" borderId="76" xfId="0" applyFill="1" applyBorder="1" applyAlignment="1">
      <alignment horizontal="center" vertical="center"/>
    </xf>
    <xf numFmtId="176" fontId="0" fillId="0" borderId="12" xfId="0" applyNumberFormat="1" applyBorder="1" applyAlignment="1">
      <alignment horizontal="right"/>
    </xf>
    <xf numFmtId="0" fontId="0" fillId="0" borderId="12" xfId="0" applyBorder="1" applyAlignment="1">
      <alignment horizontal="right"/>
    </xf>
    <xf numFmtId="0" fontId="62" fillId="0" borderId="0" xfId="0" applyFont="1" applyProtection="1">
      <protection hidden="1"/>
    </xf>
    <xf numFmtId="0" fontId="0" fillId="0" borderId="4" xfId="0" applyBorder="1" applyProtection="1">
      <protection locked="0"/>
    </xf>
    <xf numFmtId="0" fontId="12" fillId="0" borderId="0" xfId="0" applyFont="1" applyAlignment="1" applyProtection="1">
      <alignment horizontal="left"/>
      <protection hidden="1"/>
    </xf>
    <xf numFmtId="0" fontId="12" fillId="0" borderId="0" xfId="0" applyFont="1" applyAlignment="1" applyProtection="1">
      <alignment horizontal="center"/>
      <protection hidden="1"/>
    </xf>
    <xf numFmtId="0" fontId="12" fillId="0" borderId="0" xfId="0" applyFont="1" applyAlignment="1" applyProtection="1">
      <alignment horizontal="right" vertical="center"/>
      <protection hidden="1"/>
    </xf>
    <xf numFmtId="0" fontId="0" fillId="0" borderId="0" xfId="0" applyAlignment="1" applyProtection="1">
      <alignment horizontal="right" vertical="center"/>
      <protection hidden="1"/>
    </xf>
    <xf numFmtId="3" fontId="54" fillId="7" borderId="14" xfId="0" applyNumberFormat="1" applyFont="1" applyFill="1" applyBorder="1" applyAlignment="1" applyProtection="1">
      <alignment horizontal="center" vertical="center"/>
      <protection hidden="1"/>
    </xf>
    <xf numFmtId="0" fontId="12" fillId="8" borderId="0" xfId="0" applyFont="1" applyFill="1" applyAlignment="1" applyProtection="1">
      <alignment vertical="center"/>
      <protection hidden="1"/>
    </xf>
    <xf numFmtId="0" fontId="0" fillId="8" borderId="0" xfId="0" applyFill="1" applyAlignment="1" applyProtection="1">
      <alignment vertical="center"/>
      <protection hidden="1"/>
    </xf>
    <xf numFmtId="0" fontId="53" fillId="7" borderId="14" xfId="0" applyFont="1" applyFill="1" applyBorder="1" applyAlignment="1" applyProtection="1">
      <alignment horizontal="center" vertical="center"/>
      <protection hidden="1"/>
    </xf>
    <xf numFmtId="167" fontId="53" fillId="7" borderId="14" xfId="0" applyNumberFormat="1" applyFont="1" applyFill="1" applyBorder="1" applyAlignment="1" applyProtection="1">
      <alignment horizontal="center" vertical="center"/>
      <protection hidden="1"/>
    </xf>
    <xf numFmtId="4" fontId="53" fillId="7" borderId="14" xfId="0" applyNumberFormat="1" applyFont="1" applyFill="1" applyBorder="1" applyAlignment="1" applyProtection="1">
      <alignment horizontal="center" vertical="center"/>
      <protection hidden="1"/>
    </xf>
    <xf numFmtId="0" fontId="54" fillId="8" borderId="0" xfId="0" applyFont="1" applyFill="1" applyAlignment="1" applyProtection="1">
      <alignment horizontal="right" vertical="center"/>
      <protection hidden="1"/>
    </xf>
    <xf numFmtId="0" fontId="0" fillId="8" borderId="0" xfId="0" applyFill="1" applyAlignment="1" applyProtection="1">
      <alignment horizontal="right" vertical="center"/>
      <protection hidden="1"/>
    </xf>
    <xf numFmtId="0" fontId="58" fillId="8" borderId="0" xfId="0" applyFont="1" applyFill="1" applyAlignment="1" applyProtection="1">
      <alignment horizontal="right" vertical="center"/>
      <protection hidden="1"/>
    </xf>
    <xf numFmtId="0" fontId="12" fillId="8" borderId="0" xfId="0" applyFont="1" applyFill="1" applyAlignment="1" applyProtection="1">
      <alignment horizontal="right"/>
      <protection hidden="1"/>
    </xf>
    <xf numFmtId="0" fontId="54" fillId="0" borderId="0" xfId="0" applyFont="1" applyAlignment="1" applyProtection="1">
      <alignment horizontal="right" vertical="center"/>
      <protection hidden="1"/>
    </xf>
    <xf numFmtId="0" fontId="58" fillId="0" borderId="0" xfId="0" applyFont="1" applyAlignment="1" applyProtection="1">
      <alignment horizontal="right" vertical="center"/>
      <protection hidden="1"/>
    </xf>
    <xf numFmtId="0" fontId="12" fillId="8" borderId="0" xfId="0" applyFont="1" applyFill="1" applyProtection="1">
      <protection hidden="1"/>
    </xf>
    <xf numFmtId="0" fontId="59" fillId="0" borderId="0" xfId="0" applyFont="1" applyAlignment="1" applyProtection="1">
      <alignment horizontal="right" vertical="center"/>
      <protection hidden="1"/>
    </xf>
    <xf numFmtId="0" fontId="12" fillId="0" borderId="0" xfId="0" applyFont="1" applyAlignment="1" applyProtection="1">
      <alignment horizontal="right"/>
      <protection hidden="1"/>
    </xf>
    <xf numFmtId="0" fontId="12" fillId="2" borderId="12" xfId="0" applyFont="1" applyFill="1" applyBorder="1" applyAlignment="1" applyProtection="1">
      <alignment horizontal="center" wrapText="1"/>
      <protection hidden="1"/>
    </xf>
    <xf numFmtId="0" fontId="12" fillId="2" borderId="14" xfId="0" applyFont="1" applyFill="1" applyBorder="1" applyAlignment="1" applyProtection="1">
      <alignment horizontal="center" vertical="center" wrapText="1"/>
      <protection hidden="1"/>
    </xf>
    <xf numFmtId="0" fontId="12" fillId="2" borderId="13" xfId="0" applyFont="1" applyFill="1" applyBorder="1" applyAlignment="1" applyProtection="1">
      <alignment horizontal="center" vertical="center" wrapText="1"/>
      <protection hidden="1"/>
    </xf>
    <xf numFmtId="0" fontId="12" fillId="2" borderId="12" xfId="0" applyFont="1" applyFill="1" applyBorder="1" applyAlignment="1" applyProtection="1">
      <alignment horizontal="center" vertical="center" wrapText="1"/>
      <protection hidden="1"/>
    </xf>
    <xf numFmtId="0" fontId="12" fillId="2" borderId="13" xfId="0" applyFont="1" applyFill="1" applyBorder="1" applyAlignment="1" applyProtection="1">
      <alignment horizontal="right"/>
      <protection hidden="1"/>
    </xf>
    <xf numFmtId="0" fontId="12" fillId="8" borderId="18" xfId="0" applyFont="1" applyFill="1" applyBorder="1" applyAlignment="1" applyProtection="1">
      <alignment horizontal="right"/>
      <protection hidden="1"/>
    </xf>
    <xf numFmtId="0" fontId="12" fillId="2" borderId="12" xfId="0" applyFont="1" applyFill="1" applyBorder="1" applyAlignment="1" applyProtection="1">
      <alignment horizontal="right"/>
      <protection hidden="1"/>
    </xf>
    <xf numFmtId="0" fontId="12" fillId="2" borderId="13" xfId="0" applyFont="1" applyFill="1" applyBorder="1" applyAlignment="1" applyProtection="1">
      <alignment horizontal="center"/>
      <protection hidden="1"/>
    </xf>
    <xf numFmtId="0" fontId="12" fillId="2" borderId="18" xfId="0" applyFont="1" applyFill="1" applyBorder="1" applyAlignment="1" applyProtection="1">
      <alignment horizontal="center"/>
      <protection hidden="1"/>
    </xf>
    <xf numFmtId="0" fontId="12" fillId="2" borderId="14" xfId="0" applyFont="1" applyFill="1" applyBorder="1" applyAlignment="1" applyProtection="1">
      <alignment horizontal="center"/>
      <protection hidden="1"/>
    </xf>
    <xf numFmtId="0" fontId="12" fillId="2" borderId="12" xfId="0" applyFont="1" applyFill="1" applyBorder="1" applyAlignment="1" applyProtection="1">
      <alignment horizontal="right" vertical="center"/>
      <protection hidden="1"/>
    </xf>
    <xf numFmtId="166" fontId="53" fillId="7" borderId="18" xfId="0" applyNumberFormat="1" applyFont="1" applyFill="1" applyBorder="1" applyProtection="1">
      <protection hidden="1"/>
    </xf>
    <xf numFmtId="166" fontId="63" fillId="7" borderId="18" xfId="0" applyNumberFormat="1" applyFont="1" applyFill="1" applyBorder="1" applyProtection="1">
      <protection hidden="1"/>
    </xf>
    <xf numFmtId="166" fontId="54" fillId="7" borderId="12" xfId="0" applyNumberFormat="1" applyFont="1" applyFill="1" applyBorder="1" applyProtection="1">
      <protection hidden="1"/>
    </xf>
    <xf numFmtId="166" fontId="53" fillId="0" borderId="3" xfId="0" applyNumberFormat="1" applyFont="1" applyBorder="1" applyProtection="1">
      <protection hidden="1"/>
    </xf>
    <xf numFmtId="166" fontId="53" fillId="0" borderId="0" xfId="0" applyNumberFormat="1" applyFont="1" applyProtection="1">
      <protection hidden="1"/>
    </xf>
    <xf numFmtId="166" fontId="53" fillId="0" borderId="0" xfId="0" applyNumberFormat="1" applyFont="1" applyAlignment="1" applyProtection="1">
      <alignment horizontal="right" vertical="center"/>
      <protection hidden="1"/>
    </xf>
    <xf numFmtId="166" fontId="0" fillId="0" borderId="0" xfId="0" applyNumberFormat="1" applyAlignment="1" applyProtection="1">
      <alignment horizontal="right" vertical="center"/>
      <protection hidden="1"/>
    </xf>
    <xf numFmtId="0" fontId="12" fillId="0" borderId="18" xfId="0" applyFont="1" applyBorder="1" applyProtection="1">
      <protection hidden="1"/>
    </xf>
    <xf numFmtId="16" fontId="12" fillId="0" borderId="18" xfId="0" quotePrefix="1" applyNumberFormat="1" applyFont="1" applyBorder="1" applyAlignment="1" applyProtection="1">
      <alignment horizontal="left"/>
      <protection hidden="1"/>
    </xf>
    <xf numFmtId="166" fontId="59" fillId="0" borderId="13" xfId="0" applyNumberFormat="1" applyFont="1" applyBorder="1" applyAlignment="1" applyProtection="1">
      <alignment horizontal="right"/>
      <protection hidden="1"/>
    </xf>
    <xf numFmtId="166" fontId="12" fillId="0" borderId="18" xfId="0" applyNumberFormat="1" applyFont="1" applyBorder="1" applyProtection="1">
      <protection hidden="1"/>
    </xf>
    <xf numFmtId="166" fontId="63" fillId="0" borderId="18" xfId="0" applyNumberFormat="1" applyFont="1" applyBorder="1" applyProtection="1">
      <protection hidden="1"/>
    </xf>
    <xf numFmtId="166" fontId="12" fillId="0" borderId="12" xfId="0" applyNumberFormat="1" applyFont="1" applyBorder="1" applyProtection="1">
      <protection hidden="1"/>
    </xf>
    <xf numFmtId="166" fontId="12" fillId="0" borderId="14" xfId="0" applyNumberFormat="1" applyFont="1" applyBorder="1" applyProtection="1">
      <protection hidden="1"/>
    </xf>
    <xf numFmtId="166" fontId="12" fillId="0" borderId="1" xfId="0" applyNumberFormat="1" applyFont="1" applyBorder="1" applyProtection="1">
      <protection hidden="1"/>
    </xf>
    <xf numFmtId="166" fontId="12" fillId="0" borderId="0" xfId="0" applyNumberFormat="1" applyFont="1" applyProtection="1">
      <protection hidden="1"/>
    </xf>
    <xf numFmtId="166" fontId="12" fillId="0" borderId="2" xfId="0" applyNumberFormat="1" applyFont="1" applyBorder="1" applyProtection="1">
      <protection hidden="1"/>
    </xf>
    <xf numFmtId="166" fontId="12" fillId="0" borderId="0" xfId="0" quotePrefix="1" applyNumberFormat="1" applyFont="1" applyAlignment="1" applyProtection="1">
      <alignment horizontal="right" vertical="center"/>
      <protection hidden="1"/>
    </xf>
    <xf numFmtId="166" fontId="12" fillId="0" borderId="4" xfId="0" applyNumberFormat="1" applyFont="1" applyBorder="1" applyProtection="1">
      <protection hidden="1"/>
    </xf>
    <xf numFmtId="166" fontId="12" fillId="0" borderId="7" xfId="0" applyNumberFormat="1" applyFont="1" applyBorder="1" applyProtection="1">
      <protection hidden="1"/>
    </xf>
    <xf numFmtId="166" fontId="12" fillId="0" borderId="5" xfId="0" applyNumberFormat="1" applyFont="1" applyBorder="1" applyProtection="1">
      <protection hidden="1"/>
    </xf>
    <xf numFmtId="166" fontId="12" fillId="0" borderId="7" xfId="0" quotePrefix="1" applyNumberFormat="1" applyFont="1" applyBorder="1" applyAlignment="1" applyProtection="1">
      <alignment horizontal="right" vertical="center"/>
      <protection hidden="1"/>
    </xf>
    <xf numFmtId="166" fontId="12" fillId="0" borderId="14" xfId="0" applyNumberFormat="1" applyFont="1" applyBorder="1" applyAlignment="1" applyProtection="1">
      <alignment horizontal="right" vertical="center"/>
      <protection hidden="1"/>
    </xf>
    <xf numFmtId="166" fontId="12" fillId="0" borderId="13" xfId="0" applyNumberFormat="1" applyFont="1" applyBorder="1" applyProtection="1">
      <protection hidden="1"/>
    </xf>
    <xf numFmtId="16" fontId="12" fillId="0" borderId="18" xfId="0" applyNumberFormat="1" applyFont="1" applyBorder="1" applyProtection="1">
      <protection hidden="1"/>
    </xf>
    <xf numFmtId="166" fontId="0" fillId="0" borderId="0" xfId="0" applyNumberFormat="1" applyAlignment="1" applyProtection="1">
      <alignment horizontal="left"/>
      <protection hidden="1"/>
    </xf>
    <xf numFmtId="166" fontId="12" fillId="0" borderId="0" xfId="0" applyNumberFormat="1" applyFont="1" applyAlignment="1" applyProtection="1">
      <alignment horizontal="right" vertical="center"/>
      <protection hidden="1"/>
    </xf>
    <xf numFmtId="0" fontId="53" fillId="7" borderId="18" xfId="0" applyFont="1" applyFill="1" applyBorder="1" applyProtection="1">
      <protection hidden="1"/>
    </xf>
    <xf numFmtId="166" fontId="54" fillId="7" borderId="14" xfId="0" applyNumberFormat="1" applyFont="1" applyFill="1" applyBorder="1" applyProtection="1">
      <protection hidden="1"/>
    </xf>
    <xf numFmtId="166" fontId="54" fillId="0" borderId="4" xfId="0" applyNumberFormat="1" applyFont="1" applyBorder="1" applyProtection="1">
      <protection hidden="1"/>
    </xf>
    <xf numFmtId="166" fontId="53" fillId="0" borderId="14" xfId="0" applyNumberFormat="1" applyFont="1" applyBorder="1" applyAlignment="1" applyProtection="1">
      <alignment horizontal="right" vertical="center"/>
      <protection hidden="1"/>
    </xf>
    <xf numFmtId="49" fontId="12" fillId="0" borderId="18" xfId="0" applyNumberFormat="1" applyFont="1" applyBorder="1" applyProtection="1">
      <protection hidden="1"/>
    </xf>
    <xf numFmtId="0" fontId="12" fillId="0" borderId="18" xfId="0" applyFont="1" applyBorder="1" applyAlignment="1" applyProtection="1">
      <alignment horizontal="left"/>
      <protection hidden="1"/>
    </xf>
    <xf numFmtId="166" fontId="12" fillId="0" borderId="12" xfId="0" quotePrefix="1" applyNumberFormat="1" applyFont="1" applyBorder="1" applyProtection="1">
      <protection hidden="1"/>
    </xf>
    <xf numFmtId="166" fontId="12" fillId="0" borderId="2" xfId="0" applyNumberFormat="1" applyFont="1" applyBorder="1" applyAlignment="1" applyProtection="1">
      <alignment horizontal="right" vertical="center"/>
      <protection hidden="1"/>
    </xf>
    <xf numFmtId="166" fontId="0" fillId="0" borderId="2" xfId="0" applyNumberFormat="1" applyBorder="1" applyAlignment="1" applyProtection="1">
      <alignment horizontal="right" vertical="center"/>
      <protection hidden="1"/>
    </xf>
    <xf numFmtId="166" fontId="12" fillId="0" borderId="18" xfId="0" applyNumberFormat="1" applyFont="1" applyBorder="1" applyAlignment="1" applyProtection="1">
      <alignment horizontal="right" vertical="center"/>
      <protection hidden="1"/>
    </xf>
    <xf numFmtId="0" fontId="54" fillId="7" borderId="18" xfId="0" applyFont="1" applyFill="1" applyBorder="1" applyProtection="1">
      <protection hidden="1"/>
    </xf>
    <xf numFmtId="16" fontId="12" fillId="0" borderId="18" xfId="0" quotePrefix="1" applyNumberFormat="1" applyFont="1" applyBorder="1" applyProtection="1">
      <protection hidden="1"/>
    </xf>
    <xf numFmtId="166" fontId="59" fillId="0" borderId="0" xfId="0" applyNumberFormat="1" applyFont="1" applyAlignment="1">
      <alignment horizontal="right" vertical="center" wrapText="1"/>
    </xf>
    <xf numFmtId="166" fontId="69" fillId="0" borderId="0" xfId="0" applyNumberFormat="1" applyFont="1" applyAlignment="1">
      <alignment horizontal="right" vertical="center" wrapText="1"/>
    </xf>
    <xf numFmtId="166" fontId="69" fillId="0" borderId="4" xfId="0" applyNumberFormat="1" applyFont="1" applyBorder="1" applyAlignment="1">
      <alignment horizontal="right" vertical="center" wrapText="1"/>
    </xf>
    <xf numFmtId="166" fontId="69" fillId="0" borderId="4" xfId="0" applyNumberFormat="1" applyFont="1" applyBorder="1" applyAlignment="1">
      <alignment horizontal="right" vertical="center"/>
    </xf>
    <xf numFmtId="166" fontId="69" fillId="0" borderId="0" xfId="0" applyNumberFormat="1" applyFont="1" applyAlignment="1">
      <alignment horizontal="right" vertical="center"/>
    </xf>
    <xf numFmtId="166" fontId="63" fillId="0" borderId="2" xfId="0" applyNumberFormat="1" applyFont="1" applyBorder="1" applyProtection="1">
      <protection hidden="1"/>
    </xf>
    <xf numFmtId="166" fontId="12" fillId="0" borderId="3" xfId="0" applyNumberFormat="1" applyFont="1" applyBorder="1" applyProtection="1">
      <protection hidden="1"/>
    </xf>
    <xf numFmtId="166" fontId="12" fillId="0" borderId="20" xfId="0" applyNumberFormat="1" applyFont="1" applyBorder="1" applyProtection="1">
      <protection hidden="1"/>
    </xf>
    <xf numFmtId="166" fontId="12" fillId="0" borderId="20" xfId="0" applyNumberFormat="1" applyFont="1" applyBorder="1" applyAlignment="1" applyProtection="1">
      <alignment horizontal="right" vertical="center"/>
      <protection hidden="1"/>
    </xf>
    <xf numFmtId="0" fontId="12" fillId="0" borderId="1" xfId="0" applyFont="1" applyBorder="1" applyProtection="1">
      <protection hidden="1"/>
    </xf>
    <xf numFmtId="0" fontId="12" fillId="0" borderId="2" xfId="0" applyFont="1" applyBorder="1" applyProtection="1">
      <protection hidden="1"/>
    </xf>
    <xf numFmtId="166" fontId="54" fillId="0" borderId="2" xfId="0" applyNumberFormat="1" applyFont="1" applyBorder="1" applyProtection="1">
      <protection hidden="1"/>
    </xf>
    <xf numFmtId="166" fontId="53" fillId="0" borderId="2" xfId="0" applyNumberFormat="1" applyFont="1" applyBorder="1" applyProtection="1">
      <protection hidden="1"/>
    </xf>
    <xf numFmtId="166" fontId="12" fillId="0" borderId="0" xfId="0" applyNumberFormat="1" applyFont="1" applyAlignment="1" applyProtection="1">
      <alignment horizontal="right" indent="1"/>
      <protection hidden="1"/>
    </xf>
    <xf numFmtId="0" fontId="12" fillId="0" borderId="5" xfId="0" applyFont="1" applyBorder="1" applyProtection="1">
      <protection hidden="1"/>
    </xf>
    <xf numFmtId="0" fontId="12" fillId="0" borderId="4" xfId="0" applyFont="1" applyBorder="1" applyProtection="1">
      <protection hidden="1"/>
    </xf>
    <xf numFmtId="0" fontId="58" fillId="0" borderId="0" xfId="0" applyFont="1" applyAlignment="1" applyProtection="1">
      <alignment horizontal="left"/>
      <protection hidden="1"/>
    </xf>
    <xf numFmtId="166" fontId="59" fillId="0" borderId="0" xfId="0" applyNumberFormat="1" applyFont="1" applyAlignment="1" applyProtection="1">
      <alignment horizontal="right"/>
      <protection hidden="1"/>
    </xf>
    <xf numFmtId="166" fontId="63" fillId="0" borderId="0" xfId="0" applyNumberFormat="1" applyFont="1" applyProtection="1">
      <protection hidden="1"/>
    </xf>
    <xf numFmtId="166" fontId="59" fillId="0" borderId="0" xfId="0" applyNumberFormat="1" applyFont="1" applyProtection="1">
      <protection hidden="1"/>
    </xf>
    <xf numFmtId="166" fontId="58" fillId="0" borderId="0" xfId="0" applyNumberFormat="1" applyFont="1" applyAlignment="1" applyProtection="1">
      <alignment horizontal="right" vertical="center"/>
      <protection hidden="1"/>
    </xf>
    <xf numFmtId="166" fontId="12" fillId="8" borderId="0" xfId="0" applyNumberFormat="1" applyFont="1" applyFill="1" applyProtection="1">
      <protection hidden="1"/>
    </xf>
    <xf numFmtId="166" fontId="63" fillId="8" borderId="0" xfId="0" applyNumberFormat="1" applyFont="1" applyFill="1" applyProtection="1">
      <protection hidden="1"/>
    </xf>
    <xf numFmtId="0" fontId="53" fillId="0" borderId="14" xfId="0" applyFont="1" applyBorder="1" applyAlignment="1" applyProtection="1">
      <alignment horizontal="center" vertical="center" wrapText="1"/>
      <protection hidden="1"/>
    </xf>
    <xf numFmtId="4" fontId="53" fillId="0" borderId="14" xfId="0" applyNumberFormat="1" applyFont="1" applyBorder="1" applyAlignment="1" applyProtection="1">
      <alignment horizontal="center" vertical="center"/>
      <protection hidden="1"/>
    </xf>
    <xf numFmtId="164" fontId="54" fillId="7" borderId="14" xfId="0" applyNumberFormat="1" applyFont="1" applyFill="1" applyBorder="1" applyAlignment="1" applyProtection="1">
      <alignment horizontal="right" indent="1"/>
      <protection hidden="1"/>
    </xf>
    <xf numFmtId="164" fontId="53" fillId="7" borderId="14" xfId="0" applyNumberFormat="1" applyFont="1" applyFill="1" applyBorder="1" applyAlignment="1" applyProtection="1">
      <alignment horizontal="right" indent="1"/>
      <protection hidden="1"/>
    </xf>
    <xf numFmtId="164" fontId="54" fillId="0" borderId="0" xfId="0" applyNumberFormat="1" applyFont="1" applyAlignment="1" applyProtection="1">
      <alignment horizontal="right" indent="1"/>
      <protection hidden="1"/>
    </xf>
    <xf numFmtId="0" fontId="53" fillId="0" borderId="0" xfId="0" applyFont="1" applyAlignment="1" applyProtection="1">
      <alignment horizontal="right" vertical="center"/>
      <protection hidden="1"/>
    </xf>
    <xf numFmtId="164" fontId="54" fillId="0" borderId="0" xfId="0" applyNumberFormat="1" applyFont="1" applyAlignment="1" applyProtection="1">
      <alignment horizontal="right" vertical="center"/>
      <protection hidden="1"/>
    </xf>
    <xf numFmtId="0" fontId="12" fillId="0" borderId="7" xfId="0" applyFont="1" applyBorder="1" applyProtection="1">
      <protection hidden="1"/>
    </xf>
    <xf numFmtId="0" fontId="53" fillId="0" borderId="7" xfId="0" applyFont="1" applyBorder="1" applyAlignment="1" applyProtection="1">
      <alignment horizontal="right" vertical="center"/>
      <protection hidden="1"/>
    </xf>
    <xf numFmtId="0" fontId="0" fillId="0" borderId="7" xfId="0" applyBorder="1" applyAlignment="1" applyProtection="1">
      <alignment horizontal="right" vertical="center"/>
      <protection hidden="1"/>
    </xf>
    <xf numFmtId="0" fontId="111" fillId="0" borderId="8" xfId="0" applyFont="1" applyBorder="1" applyProtection="1">
      <protection hidden="1"/>
    </xf>
    <xf numFmtId="0" fontId="126" fillId="0" borderId="0" xfId="1" applyFont="1" applyFill="1" applyBorder="1" applyAlignment="1" applyProtection="1">
      <protection hidden="1"/>
    </xf>
    <xf numFmtId="185" fontId="0" fillId="0" borderId="14" xfId="0" applyNumberFormat="1" applyBorder="1" applyAlignment="1">
      <alignment vertical="top" wrapText="1"/>
    </xf>
    <xf numFmtId="0" fontId="49" fillId="29" borderId="2" xfId="0" applyFont="1" applyFill="1" applyBorder="1"/>
    <xf numFmtId="0" fontId="0" fillId="6" borderId="13" xfId="0" applyFill="1" applyBorder="1"/>
    <xf numFmtId="0" fontId="0" fillId="2" borderId="31" xfId="0" applyFill="1" applyBorder="1" applyAlignment="1">
      <alignment horizontal="center" vertical="center"/>
    </xf>
    <xf numFmtId="0" fontId="11" fillId="0" borderId="14" xfId="0" applyFont="1" applyBorder="1" applyAlignment="1">
      <alignment horizontal="center"/>
    </xf>
    <xf numFmtId="0" fontId="11" fillId="0" borderId="14" xfId="0" applyFont="1" applyBorder="1" applyAlignment="1">
      <alignment horizontal="center" wrapText="1"/>
    </xf>
    <xf numFmtId="164" fontId="26" fillId="0" borderId="14" xfId="0" applyNumberFormat="1" applyFont="1" applyBorder="1"/>
    <xf numFmtId="0" fontId="11" fillId="0" borderId="14" xfId="0" applyFont="1" applyBorder="1"/>
    <xf numFmtId="172" fontId="11" fillId="0" borderId="14" xfId="0" applyNumberFormat="1" applyFont="1" applyBorder="1" applyAlignment="1" applyProtection="1">
      <alignment horizontal="center"/>
      <protection locked="0"/>
    </xf>
    <xf numFmtId="10" fontId="116" fillId="0" borderId="14" xfId="0" applyNumberFormat="1" applyFont="1" applyBorder="1" applyAlignment="1" applyProtection="1">
      <alignment horizontal="center"/>
      <protection locked="0"/>
    </xf>
    <xf numFmtId="10" fontId="52" fillId="0" borderId="14" xfId="3" applyNumberFormat="1" applyFont="1" applyFill="1" applyBorder="1"/>
    <xf numFmtId="174" fontId="0" fillId="0" borderId="12" xfId="0" applyNumberFormat="1" applyBorder="1"/>
    <xf numFmtId="190" fontId="0" fillId="0" borderId="68" xfId="0" applyNumberFormat="1" applyBorder="1" applyAlignment="1">
      <alignment horizontal="center"/>
    </xf>
    <xf numFmtId="10" fontId="116" fillId="0" borderId="13" xfId="0" applyNumberFormat="1" applyFont="1" applyBorder="1" applyAlignment="1" applyProtection="1">
      <alignment horizontal="center"/>
      <protection locked="0"/>
    </xf>
    <xf numFmtId="190" fontId="0" fillId="15" borderId="31" xfId="0" applyNumberFormat="1" applyFill="1" applyBorder="1" applyAlignment="1" applyProtection="1">
      <alignment horizontal="center"/>
      <protection locked="0"/>
    </xf>
    <xf numFmtId="172" fontId="0" fillId="15" borderId="14" xfId="0" applyNumberFormat="1" applyFill="1" applyBorder="1" applyAlignment="1" applyProtection="1">
      <alignment horizontal="center"/>
      <protection locked="0"/>
    </xf>
    <xf numFmtId="0" fontId="50" fillId="2" borderId="14" xfId="0" applyFont="1" applyFill="1" applyBorder="1" applyAlignment="1">
      <alignment vertical="center"/>
    </xf>
    <xf numFmtId="172" fontId="0" fillId="7" borderId="12" xfId="0" applyNumberFormat="1" applyFill="1" applyBorder="1" applyAlignment="1">
      <alignment horizontal="center"/>
    </xf>
    <xf numFmtId="172" fontId="0" fillId="7" borderId="14" xfId="0" applyNumberFormat="1" applyFill="1" applyBorder="1" applyAlignment="1">
      <alignment horizontal="center"/>
    </xf>
    <xf numFmtId="190" fontId="0" fillId="7" borderId="31" xfId="0" applyNumberFormat="1" applyFill="1" applyBorder="1" applyAlignment="1">
      <alignment horizontal="center"/>
    </xf>
    <xf numFmtId="190" fontId="0" fillId="0" borderId="28" xfId="0" applyNumberFormat="1" applyBorder="1" applyAlignment="1">
      <alignment horizontal="center"/>
    </xf>
    <xf numFmtId="190" fontId="0" fillId="6" borderId="31" xfId="0" applyNumberFormat="1" applyFill="1" applyBorder="1" applyAlignment="1">
      <alignment horizontal="center"/>
    </xf>
    <xf numFmtId="172" fontId="52" fillId="0" borderId="18" xfId="0" applyNumberFormat="1" applyFont="1" applyBorder="1" applyAlignment="1">
      <alignment horizontal="left"/>
    </xf>
    <xf numFmtId="174" fontId="0" fillId="0" borderId="14" xfId="0" applyNumberFormat="1" applyBorder="1" applyAlignment="1">
      <alignment horizontal="right"/>
    </xf>
    <xf numFmtId="174" fontId="0" fillId="0" borderId="0" xfId="0" applyNumberFormat="1" applyAlignment="1">
      <alignment horizontal="right"/>
    </xf>
    <xf numFmtId="174" fontId="0" fillId="0" borderId="12" xfId="0" applyNumberFormat="1" applyBorder="1" applyAlignment="1">
      <alignment horizontal="right"/>
    </xf>
    <xf numFmtId="0" fontId="0" fillId="0" borderId="0" xfId="0" applyAlignment="1">
      <alignment wrapText="1"/>
    </xf>
    <xf numFmtId="0" fontId="0" fillId="6" borderId="30" xfId="0" applyFill="1" applyBorder="1" applyAlignment="1">
      <alignment wrapText="1"/>
    </xf>
    <xf numFmtId="175" fontId="0" fillId="6" borderId="12" xfId="0" applyNumberFormat="1" applyFill="1" applyBorder="1" applyAlignment="1">
      <alignment horizontal="right"/>
    </xf>
    <xf numFmtId="172" fontId="52" fillId="29" borderId="18" xfId="0" applyNumberFormat="1" applyFont="1" applyFill="1" applyBorder="1" applyAlignment="1">
      <alignment horizontal="left"/>
    </xf>
    <xf numFmtId="0" fontId="50" fillId="0" borderId="4" xfId="0" applyFont="1" applyBorder="1"/>
    <xf numFmtId="0" fontId="11" fillId="0" borderId="6" xfId="0" applyFont="1" applyBorder="1"/>
    <xf numFmtId="172" fontId="11" fillId="0" borderId="7" xfId="0" applyNumberFormat="1" applyFont="1" applyBorder="1" applyAlignment="1" applyProtection="1">
      <alignment horizontal="center"/>
      <protection locked="0"/>
    </xf>
    <xf numFmtId="164" fontId="26" fillId="0" borderId="7" xfId="0" applyNumberFormat="1" applyFont="1" applyBorder="1"/>
    <xf numFmtId="189" fontId="40" fillId="16" borderId="6" xfId="0" applyNumberFormat="1" applyFont="1" applyFill="1" applyBorder="1" applyProtection="1">
      <protection hidden="1"/>
    </xf>
    <xf numFmtId="189" fontId="53" fillId="14" borderId="44" xfId="0" applyNumberFormat="1" applyFont="1" applyFill="1" applyBorder="1" applyProtection="1">
      <protection hidden="1"/>
    </xf>
    <xf numFmtId="189" fontId="106" fillId="6" borderId="0" xfId="0" applyNumberFormat="1" applyFont="1" applyFill="1" applyProtection="1">
      <protection hidden="1"/>
    </xf>
    <xf numFmtId="189" fontId="53" fillId="14" borderId="12" xfId="0" applyNumberFormat="1" applyFont="1" applyFill="1" applyBorder="1" applyProtection="1">
      <protection hidden="1"/>
    </xf>
    <xf numFmtId="0" fontId="10" fillId="0" borderId="14" xfId="0" applyFont="1" applyBorder="1" applyAlignment="1" applyProtection="1">
      <alignment horizontal="center" vertical="center" wrapText="1"/>
      <protection hidden="1"/>
    </xf>
    <xf numFmtId="0" fontId="10" fillId="0" borderId="0" xfId="0" applyFont="1" applyProtection="1">
      <protection hidden="1"/>
    </xf>
    <xf numFmtId="2" fontId="10" fillId="0" borderId="14" xfId="0" applyNumberFormat="1" applyFont="1" applyBorder="1" applyAlignment="1" applyProtection="1">
      <alignment horizontal="center" vertical="center"/>
      <protection hidden="1"/>
    </xf>
    <xf numFmtId="2" fontId="10" fillId="0" borderId="0" xfId="0" applyNumberFormat="1" applyFont="1" applyProtection="1">
      <protection hidden="1"/>
    </xf>
    <xf numFmtId="172" fontId="0" fillId="7" borderId="12" xfId="0" quotePrefix="1" applyNumberFormat="1" applyFill="1" applyBorder="1" applyAlignment="1">
      <alignment horizontal="center"/>
    </xf>
    <xf numFmtId="10" fontId="10" fillId="7" borderId="14" xfId="0" applyNumberFormat="1" applyFont="1" applyFill="1" applyBorder="1" applyProtection="1">
      <protection hidden="1"/>
    </xf>
    <xf numFmtId="0" fontId="9" fillId="7" borderId="5" xfId="0" applyFont="1" applyFill="1" applyBorder="1"/>
    <xf numFmtId="0" fontId="9" fillId="0" borderId="5" xfId="0" applyFont="1" applyBorder="1"/>
    <xf numFmtId="0" fontId="9" fillId="0" borderId="8" xfId="0" applyFont="1" applyBorder="1"/>
    <xf numFmtId="0" fontId="26" fillId="7" borderId="0" xfId="0" applyFont="1" applyFill="1"/>
    <xf numFmtId="0" fontId="26" fillId="7" borderId="0" xfId="0" applyFont="1" applyFill="1" applyAlignment="1">
      <alignment horizontal="center"/>
    </xf>
    <xf numFmtId="9" fontId="67" fillId="7" borderId="0" xfId="0" applyNumberFormat="1" applyFont="1" applyFill="1"/>
    <xf numFmtId="10" fontId="59" fillId="15" borderId="14" xfId="3" applyNumberFormat="1" applyFont="1" applyFill="1" applyBorder="1" applyAlignment="1" applyProtection="1"/>
    <xf numFmtId="189" fontId="40" fillId="10" borderId="60" xfId="0" applyNumberFormat="1" applyFont="1" applyFill="1" applyBorder="1" applyProtection="1">
      <protection locked="0"/>
    </xf>
    <xf numFmtId="189" fontId="40" fillId="10" borderId="61" xfId="0" applyNumberFormat="1" applyFont="1" applyFill="1" applyBorder="1" applyProtection="1">
      <protection locked="0"/>
    </xf>
    <xf numFmtId="0" fontId="53" fillId="0" borderId="30" xfId="0" applyFont="1" applyBorder="1" applyAlignment="1">
      <alignment horizontal="center"/>
    </xf>
    <xf numFmtId="0" fontId="45" fillId="2" borderId="36" xfId="0" applyFont="1" applyFill="1" applyBorder="1"/>
    <xf numFmtId="0" fontId="45" fillId="2" borderId="38" xfId="0" applyFont="1" applyFill="1" applyBorder="1"/>
    <xf numFmtId="44" fontId="53" fillId="15" borderId="79" xfId="2" applyFont="1" applyFill="1" applyBorder="1" applyAlignment="1" applyProtection="1">
      <alignment horizontal="center"/>
      <protection locked="0"/>
    </xf>
    <xf numFmtId="44" fontId="53" fillId="15" borderId="32" xfId="2" applyFont="1" applyFill="1" applyBorder="1" applyAlignment="1" applyProtection="1">
      <alignment horizontal="center"/>
      <protection locked="0"/>
    </xf>
    <xf numFmtId="44" fontId="53" fillId="15" borderId="33" xfId="2" applyFont="1" applyFill="1" applyBorder="1" applyAlignment="1" applyProtection="1">
      <alignment horizontal="center"/>
      <protection locked="0"/>
    </xf>
    <xf numFmtId="173" fontId="0" fillId="15" borderId="31" xfId="0" applyNumberFormat="1" applyFill="1" applyBorder="1" applyAlignment="1" applyProtection="1">
      <alignment horizontal="center"/>
      <protection locked="0"/>
    </xf>
    <xf numFmtId="0" fontId="50" fillId="2" borderId="35" xfId="0" applyFont="1" applyFill="1" applyBorder="1" applyAlignment="1">
      <alignment horizontal="center"/>
    </xf>
    <xf numFmtId="44" fontId="53" fillId="14" borderId="79" xfId="2" applyFont="1" applyFill="1" applyBorder="1" applyAlignment="1" applyProtection="1">
      <alignment horizontal="center"/>
    </xf>
    <xf numFmtId="0" fontId="8" fillId="0" borderId="14" xfId="0" applyFont="1" applyBorder="1" applyAlignment="1">
      <alignment vertical="top"/>
    </xf>
    <xf numFmtId="14" fontId="59" fillId="0" borderId="20" xfId="18" applyNumberFormat="1" applyBorder="1" applyAlignment="1">
      <alignment horizontal="right" vertical="top" wrapText="1"/>
    </xf>
    <xf numFmtId="0" fontId="30" fillId="0" borderId="20" xfId="0" applyFont="1" applyBorder="1" applyAlignment="1">
      <alignment vertical="top" wrapText="1"/>
    </xf>
    <xf numFmtId="14" fontId="7" fillId="0" borderId="14" xfId="0" applyNumberFormat="1" applyFont="1" applyBorder="1" applyAlignment="1">
      <alignment vertical="top" wrapText="1"/>
    </xf>
    <xf numFmtId="0" fontId="7" fillId="0" borderId="14" xfId="0" applyFont="1" applyBorder="1" applyAlignment="1">
      <alignment vertical="top" wrapText="1"/>
    </xf>
    <xf numFmtId="0" fontId="7" fillId="0" borderId="14" xfId="0" applyFont="1" applyBorder="1" applyAlignment="1">
      <alignment vertical="top"/>
    </xf>
    <xf numFmtId="14" fontId="6" fillId="0" borderId="1" xfId="0" applyNumberFormat="1" applyFont="1" applyBorder="1" applyAlignment="1">
      <alignment horizontal="left" vertical="top"/>
    </xf>
    <xf numFmtId="0" fontId="6" fillId="0" borderId="20" xfId="0" applyFont="1" applyBorder="1" applyAlignment="1">
      <alignment horizontal="left" vertical="top"/>
    </xf>
    <xf numFmtId="0" fontId="6" fillId="0" borderId="2" xfId="0" applyFont="1" applyBorder="1" applyAlignment="1">
      <alignment horizontal="left" vertical="top"/>
    </xf>
    <xf numFmtId="0" fontId="6" fillId="0" borderId="20" xfId="0" applyFont="1" applyBorder="1" applyAlignment="1">
      <alignment horizontal="left" vertical="top" wrapText="1"/>
    </xf>
    <xf numFmtId="0" fontId="6" fillId="0" borderId="3" xfId="0" applyFont="1" applyBorder="1"/>
    <xf numFmtId="0" fontId="6" fillId="0" borderId="4" xfId="0" applyFont="1" applyBorder="1" applyAlignment="1">
      <alignment horizontal="left" vertical="top"/>
    </xf>
    <xf numFmtId="0" fontId="6" fillId="0" borderId="0" xfId="0" applyFont="1" applyAlignment="1">
      <alignment vertical="top"/>
    </xf>
    <xf numFmtId="0" fontId="6" fillId="0" borderId="19" xfId="0" applyFont="1" applyBorder="1" applyAlignment="1">
      <alignment wrapText="1"/>
    </xf>
    <xf numFmtId="0" fontId="6" fillId="0" borderId="5" xfId="0" applyFont="1" applyBorder="1"/>
    <xf numFmtId="0" fontId="6" fillId="0" borderId="19" xfId="0" applyFont="1" applyBorder="1" applyAlignment="1">
      <alignment horizontal="left" vertical="top"/>
    </xf>
    <xf numFmtId="0" fontId="6" fillId="0" borderId="0" xfId="0" applyFont="1" applyAlignment="1">
      <alignment horizontal="left" vertical="top"/>
    </xf>
    <xf numFmtId="0" fontId="6" fillId="0" borderId="19" xfId="0" applyFont="1" applyBorder="1" applyAlignment="1">
      <alignment horizontal="left" vertical="top" wrapText="1"/>
    </xf>
    <xf numFmtId="0" fontId="6" fillId="0" borderId="6" xfId="0" applyFont="1" applyBorder="1" applyAlignment="1">
      <alignment horizontal="left" vertical="top"/>
    </xf>
    <xf numFmtId="0" fontId="6" fillId="0" borderId="21" xfId="0" applyFont="1" applyBorder="1" applyAlignment="1">
      <alignment horizontal="left" vertical="top"/>
    </xf>
    <xf numFmtId="0" fontId="6" fillId="0" borderId="7" xfId="0" applyFont="1" applyBorder="1" applyAlignment="1">
      <alignment horizontal="left" vertical="top"/>
    </xf>
    <xf numFmtId="0" fontId="6" fillId="0" borderId="8" xfId="0" applyFont="1" applyBorder="1"/>
    <xf numFmtId="0" fontId="128" fillId="0" borderId="0" xfId="0" applyFont="1"/>
    <xf numFmtId="0" fontId="129" fillId="0" borderId="0" xfId="0" applyFont="1"/>
    <xf numFmtId="0" fontId="129" fillId="0" borderId="0" xfId="0" applyFont="1" applyAlignment="1">
      <alignment horizontal="center"/>
    </xf>
    <xf numFmtId="0" fontId="129" fillId="0" borderId="29" xfId="0" applyFont="1" applyBorder="1"/>
    <xf numFmtId="164" fontId="128" fillId="8" borderId="0" xfId="0" applyNumberFormat="1" applyFont="1" applyFill="1"/>
    <xf numFmtId="0" fontId="129" fillId="0" borderId="28" xfId="0" applyFont="1" applyBorder="1"/>
    <xf numFmtId="3" fontId="129" fillId="0" borderId="0" xfId="0" applyNumberFormat="1" applyFont="1"/>
    <xf numFmtId="164" fontId="129" fillId="0" borderId="0" xfId="0" applyNumberFormat="1" applyFont="1"/>
    <xf numFmtId="182" fontId="129" fillId="16" borderId="28" xfId="0" applyNumberFormat="1" applyFont="1" applyFill="1" applyBorder="1" applyAlignment="1">
      <alignment horizontal="left"/>
    </xf>
    <xf numFmtId="0" fontId="128" fillId="0" borderId="29" xfId="0" applyFont="1" applyBorder="1"/>
    <xf numFmtId="164" fontId="128" fillId="28" borderId="0" xfId="0" applyNumberFormat="1" applyFont="1" applyFill="1"/>
    <xf numFmtId="183" fontId="129" fillId="0" borderId="28" xfId="0" applyNumberFormat="1" applyFont="1" applyBorder="1" applyAlignment="1">
      <alignment horizontal="left"/>
    </xf>
    <xf numFmtId="10" fontId="129" fillId="14" borderId="28" xfId="0" applyNumberFormat="1" applyFont="1" applyFill="1" applyBorder="1" applyAlignment="1">
      <alignment horizontal="left"/>
    </xf>
    <xf numFmtId="0" fontId="128" fillId="0" borderId="29" xfId="0" applyFont="1" applyBorder="1" applyAlignment="1">
      <alignment vertical="center"/>
    </xf>
    <xf numFmtId="164" fontId="128" fillId="28" borderId="0" xfId="0" applyNumberFormat="1" applyFont="1" applyFill="1" applyAlignment="1">
      <alignment vertical="center"/>
    </xf>
    <xf numFmtId="183" fontId="129" fillId="0" borderId="28" xfId="0" applyNumberFormat="1" applyFont="1" applyBorder="1" applyAlignment="1">
      <alignment horizontal="left" vertical="center" wrapText="1"/>
    </xf>
    <xf numFmtId="164" fontId="128" fillId="0" borderId="28" xfId="0" applyNumberFormat="1" applyFont="1" applyBorder="1"/>
    <xf numFmtId="0" fontId="128" fillId="0" borderId="39" xfId="0" applyFont="1" applyBorder="1"/>
    <xf numFmtId="164" fontId="128" fillId="22" borderId="40" xfId="0" applyNumberFormat="1" applyFont="1" applyFill="1" applyBorder="1"/>
    <xf numFmtId="184" fontId="128" fillId="6" borderId="41" xfId="0" applyNumberFormat="1" applyFont="1" applyFill="1" applyBorder="1" applyAlignment="1">
      <alignment horizontal="center" vertical="center"/>
    </xf>
    <xf numFmtId="0" fontId="129" fillId="0" borderId="9" xfId="0" applyFont="1" applyBorder="1" applyAlignment="1">
      <alignment wrapText="1"/>
    </xf>
    <xf numFmtId="164" fontId="130" fillId="0" borderId="10" xfId="0" applyNumberFormat="1" applyFont="1" applyBorder="1" applyAlignment="1">
      <alignment vertical="center"/>
    </xf>
    <xf numFmtId="184" fontId="131" fillId="8" borderId="11" xfId="0" applyNumberFormat="1" applyFont="1" applyFill="1" applyBorder="1" applyAlignment="1">
      <alignment horizontal="center" vertical="center"/>
    </xf>
    <xf numFmtId="0" fontId="129" fillId="14" borderId="0" xfId="0" applyFont="1" applyFill="1" applyAlignment="1">
      <alignment horizontal="center" vertical="center"/>
    </xf>
    <xf numFmtId="164" fontId="129" fillId="14" borderId="0" xfId="0" applyNumberFormat="1" applyFont="1" applyFill="1" applyAlignment="1">
      <alignment vertical="center"/>
    </xf>
    <xf numFmtId="0" fontId="129" fillId="0" borderId="0" xfId="0" applyFont="1" applyAlignment="1">
      <alignment horizontal="center" vertical="center"/>
    </xf>
    <xf numFmtId="0" fontId="128" fillId="0" borderId="1" xfId="0" applyFont="1" applyBorder="1"/>
    <xf numFmtId="0" fontId="129" fillId="0" borderId="2" xfId="0" applyFont="1" applyBorder="1"/>
    <xf numFmtId="0" fontId="129" fillId="0" borderId="3" xfId="0" applyFont="1" applyBorder="1"/>
    <xf numFmtId="0" fontId="129" fillId="0" borderId="4" xfId="0" applyFont="1" applyBorder="1"/>
    <xf numFmtId="0" fontId="129" fillId="14" borderId="14" xfId="0" applyFont="1" applyFill="1" applyBorder="1" applyAlignment="1">
      <alignment horizontal="center"/>
    </xf>
    <xf numFmtId="0" fontId="129" fillId="0" borderId="5" xfId="0" applyFont="1" applyBorder="1"/>
    <xf numFmtId="0" fontId="129" fillId="31" borderId="12" xfId="0" applyFont="1" applyFill="1" applyBorder="1"/>
    <xf numFmtId="0" fontId="129" fillId="31" borderId="18" xfId="0" applyFont="1" applyFill="1" applyBorder="1"/>
    <xf numFmtId="0" fontId="129" fillId="31" borderId="13" xfId="0" applyFont="1" applyFill="1" applyBorder="1"/>
    <xf numFmtId="164" fontId="129" fillId="14" borderId="14" xfId="0" applyNumberFormat="1" applyFont="1" applyFill="1" applyBorder="1"/>
    <xf numFmtId="0" fontId="129" fillId="0" borderId="6" xfId="0" applyFont="1" applyBorder="1"/>
    <xf numFmtId="0" fontId="129" fillId="0" borderId="7" xfId="0" applyFont="1" applyBorder="1"/>
    <xf numFmtId="0" fontId="129" fillId="0" borderId="8" xfId="0" applyFont="1" applyBorder="1"/>
    <xf numFmtId="0" fontId="128" fillId="17" borderId="9" xfId="0" applyFont="1" applyFill="1" applyBorder="1" applyAlignment="1">
      <alignment vertical="center"/>
    </xf>
    <xf numFmtId="0" fontId="129" fillId="0" borderId="9" xfId="0" applyFont="1" applyBorder="1"/>
    <xf numFmtId="0" fontId="129" fillId="0" borderId="9" xfId="0" applyFont="1" applyBorder="1" applyAlignment="1">
      <alignment horizontal="center"/>
    </xf>
    <xf numFmtId="0" fontId="128" fillId="21" borderId="15" xfId="0" applyFont="1" applyFill="1" applyBorder="1" applyAlignment="1">
      <alignment horizontal="center"/>
    </xf>
    <xf numFmtId="0" fontId="129" fillId="0" borderId="11" xfId="0" applyFont="1" applyBorder="1" applyAlignment="1">
      <alignment horizontal="center"/>
    </xf>
    <xf numFmtId="0" fontId="129" fillId="0" borderId="64" xfId="0" applyFont="1" applyBorder="1"/>
    <xf numFmtId="177" fontId="129" fillId="0" borderId="64" xfId="3" applyNumberFormat="1" applyFont="1" applyBorder="1" applyAlignment="1">
      <alignment horizontal="center"/>
    </xf>
    <xf numFmtId="177" fontId="129" fillId="15" borderId="51" xfId="3" applyNumberFormat="1" applyFont="1" applyFill="1" applyBorder="1" applyAlignment="1">
      <alignment horizontal="center"/>
    </xf>
    <xf numFmtId="177" fontId="129" fillId="0" borderId="67" xfId="3" applyNumberFormat="1" applyFont="1" applyBorder="1" applyAlignment="1">
      <alignment horizontal="center"/>
    </xf>
    <xf numFmtId="0" fontId="129" fillId="0" borderId="65" xfId="0" applyFont="1" applyBorder="1"/>
    <xf numFmtId="177" fontId="129" fillId="0" borderId="65" xfId="3" applyNumberFormat="1" applyFont="1" applyBorder="1" applyAlignment="1">
      <alignment horizontal="center"/>
    </xf>
    <xf numFmtId="177" fontId="129" fillId="0" borderId="65" xfId="3" applyNumberFormat="1" applyFont="1" applyBorder="1" applyAlignment="1">
      <alignment horizontal="center" wrapText="1"/>
    </xf>
    <xf numFmtId="177" fontId="129" fillId="0" borderId="68" xfId="3" applyNumberFormat="1" applyFont="1" applyBorder="1" applyAlignment="1">
      <alignment horizontal="center" wrapText="1"/>
    </xf>
    <xf numFmtId="0" fontId="128" fillId="22" borderId="9" xfId="0" applyFont="1" applyFill="1" applyBorder="1"/>
    <xf numFmtId="2" fontId="129" fillId="22" borderId="9" xfId="0" applyNumberFormat="1" applyFont="1" applyFill="1" applyBorder="1" applyAlignment="1">
      <alignment horizontal="center"/>
    </xf>
    <xf numFmtId="177" fontId="128" fillId="16" borderId="15" xfId="3" applyNumberFormat="1" applyFont="1" applyFill="1" applyBorder="1" applyAlignment="1">
      <alignment horizontal="center"/>
    </xf>
    <xf numFmtId="0" fontId="129" fillId="22" borderId="38" xfId="0" applyFont="1" applyFill="1" applyBorder="1" applyAlignment="1">
      <alignment horizontal="center"/>
    </xf>
    <xf numFmtId="0" fontId="129" fillId="0" borderId="29" xfId="0" applyFont="1" applyBorder="1" applyAlignment="1">
      <alignment horizontal="center"/>
    </xf>
    <xf numFmtId="10" fontId="129" fillId="15" borderId="54" xfId="0" applyNumberFormat="1" applyFont="1" applyFill="1" applyBorder="1" applyAlignment="1">
      <alignment horizontal="center"/>
    </xf>
    <xf numFmtId="0" fontId="129" fillId="6" borderId="35" xfId="0" applyFont="1" applyFill="1" applyBorder="1" applyAlignment="1">
      <alignment horizontal="center"/>
    </xf>
    <xf numFmtId="0" fontId="129" fillId="6" borderId="52" xfId="0" applyFont="1" applyFill="1" applyBorder="1" applyAlignment="1">
      <alignment horizontal="center"/>
    </xf>
    <xf numFmtId="0" fontId="128" fillId="0" borderId="9" xfId="0" applyFont="1" applyBorder="1"/>
    <xf numFmtId="10" fontId="129" fillId="15" borderId="15" xfId="0" applyNumberFormat="1" applyFont="1" applyFill="1" applyBorder="1" applyAlignment="1">
      <alignment horizontal="center"/>
    </xf>
    <xf numFmtId="177" fontId="129" fillId="16" borderId="15" xfId="0" applyNumberFormat="1" applyFont="1" applyFill="1" applyBorder="1" applyAlignment="1">
      <alignment horizontal="center"/>
    </xf>
    <xf numFmtId="0" fontId="129" fillId="6" borderId="66" xfId="0" applyFont="1" applyFill="1" applyBorder="1"/>
    <xf numFmtId="9" fontId="129" fillId="6" borderId="1" xfId="0" applyNumberFormat="1" applyFont="1" applyFill="1" applyBorder="1" applyAlignment="1">
      <alignment horizontal="center"/>
    </xf>
    <xf numFmtId="9" fontId="129" fillId="6" borderId="2" xfId="0" applyNumberFormat="1" applyFont="1" applyFill="1" applyBorder="1" applyAlignment="1">
      <alignment horizontal="center"/>
    </xf>
    <xf numFmtId="9" fontId="129" fillId="14" borderId="14" xfId="0" applyNumberFormat="1" applyFont="1" applyFill="1" applyBorder="1" applyAlignment="1">
      <alignment horizontal="center"/>
    </xf>
    <xf numFmtId="9" fontId="129" fillId="14" borderId="14" xfId="0" applyNumberFormat="1" applyFont="1" applyFill="1" applyBorder="1" applyAlignment="1">
      <alignment horizontal="center" wrapText="1"/>
    </xf>
    <xf numFmtId="0" fontId="129" fillId="7" borderId="14" xfId="0" applyFont="1" applyFill="1" applyBorder="1"/>
    <xf numFmtId="9" fontId="129" fillId="7" borderId="14" xfId="0" applyNumberFormat="1" applyFont="1" applyFill="1" applyBorder="1"/>
    <xf numFmtId="10" fontId="129" fillId="15" borderId="14" xfId="0" applyNumberFormat="1" applyFont="1" applyFill="1" applyBorder="1"/>
    <xf numFmtId="0" fontId="129" fillId="0" borderId="14" xfId="0" applyFont="1" applyBorder="1"/>
    <xf numFmtId="10" fontId="129" fillId="15" borderId="14" xfId="3" applyNumberFormat="1" applyFont="1" applyFill="1" applyBorder="1"/>
    <xf numFmtId="9" fontId="129" fillId="15" borderId="14" xfId="3" applyFont="1" applyFill="1" applyBorder="1"/>
    <xf numFmtId="9" fontId="129" fillId="7" borderId="14" xfId="0" applyNumberFormat="1" applyFont="1" applyFill="1" applyBorder="1" applyAlignment="1">
      <alignment wrapText="1"/>
    </xf>
    <xf numFmtId="0" fontId="6" fillId="0" borderId="14" xfId="0" applyFont="1" applyBorder="1" applyAlignment="1">
      <alignment horizontal="center" vertical="center" wrapText="1"/>
    </xf>
    <xf numFmtId="0" fontId="6" fillId="0" borderId="14" xfId="0" applyFont="1" applyBorder="1" applyAlignment="1">
      <alignment horizontal="center" vertical="center"/>
    </xf>
    <xf numFmtId="10" fontId="6" fillId="15" borderId="14" xfId="3" applyNumberFormat="1" applyFont="1" applyFill="1" applyBorder="1"/>
    <xf numFmtId="10" fontId="6" fillId="15" borderId="14" xfId="3" applyNumberFormat="1" applyFont="1" applyFill="1" applyBorder="1" applyAlignment="1" applyProtection="1"/>
    <xf numFmtId="10" fontId="6" fillId="15" borderId="14" xfId="3" applyNumberFormat="1" applyFont="1" applyFill="1" applyBorder="1" applyAlignment="1" applyProtection="1">
      <alignment wrapText="1"/>
    </xf>
    <xf numFmtId="0" fontId="6" fillId="0" borderId="0" xfId="0" applyFont="1"/>
    <xf numFmtId="0" fontId="6" fillId="6" borderId="14" xfId="0" applyFont="1" applyFill="1" applyBorder="1" applyAlignment="1">
      <alignment vertical="top"/>
    </xf>
    <xf numFmtId="0" fontId="6" fillId="6" borderId="12" xfId="0" applyFont="1" applyFill="1" applyBorder="1" applyAlignment="1">
      <alignment horizontal="left" vertical="top"/>
    </xf>
    <xf numFmtId="0" fontId="129" fillId="0" borderId="14" xfId="0" applyFont="1" applyBorder="1" applyAlignment="1">
      <alignment horizontal="center" vertical="center" wrapText="1"/>
    </xf>
    <xf numFmtId="0" fontId="5" fillId="0" borderId="19" xfId="0" applyFont="1" applyBorder="1" applyAlignment="1">
      <alignment horizontal="left" vertical="top"/>
    </xf>
    <xf numFmtId="0" fontId="52" fillId="6" borderId="4" xfId="0" applyFont="1" applyFill="1" applyBorder="1"/>
    <xf numFmtId="0" fontId="4" fillId="0" borderId="0" xfId="0" applyFont="1" applyAlignment="1">
      <alignment horizontal="left" vertical="top"/>
    </xf>
    <xf numFmtId="0" fontId="5" fillId="0" borderId="20" xfId="0" applyFont="1" applyBorder="1" applyAlignment="1">
      <alignment vertical="top"/>
    </xf>
    <xf numFmtId="14" fontId="5" fillId="0" borderId="20" xfId="0" applyNumberFormat="1" applyFont="1" applyBorder="1" applyAlignment="1">
      <alignment vertical="top"/>
    </xf>
    <xf numFmtId="0" fontId="5" fillId="0" borderId="20" xfId="0" applyFont="1" applyBorder="1" applyAlignment="1">
      <alignment horizontal="left" vertical="top"/>
    </xf>
    <xf numFmtId="0" fontId="5" fillId="0" borderId="20" xfId="0" applyFont="1" applyBorder="1" applyAlignment="1">
      <alignment horizontal="left" vertical="top" wrapText="1"/>
    </xf>
    <xf numFmtId="0" fontId="5" fillId="0" borderId="20" xfId="0" applyFont="1" applyBorder="1"/>
    <xf numFmtId="0" fontId="4" fillId="0" borderId="2" xfId="0" applyFont="1" applyBorder="1" applyAlignment="1">
      <alignment horizontal="left" vertical="top"/>
    </xf>
    <xf numFmtId="0" fontId="5" fillId="0" borderId="3" xfId="0" applyFont="1" applyBorder="1"/>
    <xf numFmtId="0" fontId="32" fillId="0" borderId="4" xfId="0" applyFont="1" applyBorder="1"/>
    <xf numFmtId="0" fontId="30" fillId="0" borderId="5" xfId="0" applyFont="1" applyBorder="1"/>
    <xf numFmtId="0" fontId="32" fillId="0" borderId="6" xfId="0" applyFont="1" applyBorder="1"/>
    <xf numFmtId="0" fontId="4" fillId="0" borderId="7" xfId="0" applyFont="1" applyBorder="1" applyAlignment="1">
      <alignment horizontal="left" vertical="top"/>
    </xf>
    <xf numFmtId="0" fontId="30" fillId="0" borderId="8" xfId="0" applyFont="1" applyBorder="1"/>
    <xf numFmtId="0" fontId="5" fillId="0" borderId="19" xfId="0" applyFont="1" applyBorder="1" applyAlignment="1">
      <alignment vertical="top"/>
    </xf>
    <xf numFmtId="0" fontId="4" fillId="0" borderId="21" xfId="0" applyFont="1" applyBorder="1" applyAlignment="1">
      <alignment vertical="top"/>
    </xf>
    <xf numFmtId="0" fontId="4" fillId="0" borderId="20" xfId="0" applyFont="1" applyBorder="1" applyAlignment="1">
      <alignment horizontal="left" vertical="top" wrapText="1"/>
    </xf>
    <xf numFmtId="0" fontId="4" fillId="0" borderId="19" xfId="0" applyFont="1" applyBorder="1" applyAlignment="1">
      <alignment horizontal="left" vertical="top" wrapText="1"/>
    </xf>
    <xf numFmtId="0" fontId="4" fillId="0" borderId="21" xfId="0" applyFont="1" applyBorder="1" applyAlignment="1">
      <alignment horizontal="left" vertical="top" wrapText="1"/>
    </xf>
    <xf numFmtId="14" fontId="5" fillId="0" borderId="1" xfId="0" applyNumberFormat="1" applyFont="1" applyBorder="1" applyAlignment="1">
      <alignment vertical="top"/>
    </xf>
    <xf numFmtId="0" fontId="48" fillId="0" borderId="14" xfId="0" applyFont="1" applyBorder="1" applyAlignment="1">
      <alignment vertical="center" wrapText="1"/>
    </xf>
    <xf numFmtId="0" fontId="48" fillId="0" borderId="14" xfId="0" applyFont="1" applyBorder="1" applyAlignment="1">
      <alignment horizontal="center" vertical="center" wrapText="1"/>
    </xf>
    <xf numFmtId="0" fontId="48" fillId="0" borderId="12" xfId="0" applyFont="1" applyBorder="1" applyAlignment="1">
      <alignment vertical="center" wrapText="1"/>
    </xf>
    <xf numFmtId="9" fontId="48" fillId="0" borderId="14" xfId="0" applyNumberFormat="1" applyFont="1" applyBorder="1" applyAlignment="1">
      <alignment horizontal="center" vertical="center" wrapText="1"/>
    </xf>
    <xf numFmtId="0" fontId="0" fillId="6" borderId="0" xfId="0" applyFill="1" applyAlignment="1">
      <alignment wrapText="1"/>
    </xf>
    <xf numFmtId="0" fontId="82" fillId="8" borderId="0" xfId="1" applyFont="1" applyFill="1" applyAlignment="1" applyProtection="1">
      <alignment textRotation="255" wrapText="1"/>
    </xf>
    <xf numFmtId="0" fontId="82" fillId="8" borderId="0" xfId="1" applyFont="1" applyFill="1" applyAlignment="1" applyProtection="1">
      <alignment vertical="center" textRotation="255"/>
    </xf>
    <xf numFmtId="0" fontId="82" fillId="8" borderId="0" xfId="1" applyFont="1" applyFill="1" applyAlignment="1" applyProtection="1">
      <alignment vertical="center" textRotation="255" wrapText="1"/>
    </xf>
    <xf numFmtId="0" fontId="2" fillId="0" borderId="80" xfId="0" applyFont="1" applyBorder="1" applyAlignment="1">
      <alignment vertical="top" wrapText="1"/>
    </xf>
    <xf numFmtId="10" fontId="2" fillId="0" borderId="80" xfId="3" applyNumberFormat="1" applyFont="1" applyBorder="1" applyAlignment="1">
      <alignment horizontal="left" vertical="top" wrapText="1"/>
    </xf>
    <xf numFmtId="0" fontId="2" fillId="0" borderId="0" xfId="0" applyFont="1"/>
    <xf numFmtId="1" fontId="54" fillId="8" borderId="81" xfId="19" applyNumberFormat="1" applyFont="1" applyFill="1" applyBorder="1" applyAlignment="1">
      <alignment horizontal="center" vertical="top" textRotation="90" wrapText="1"/>
    </xf>
    <xf numFmtId="0" fontId="54" fillId="34" borderId="81" xfId="19" applyFont="1" applyFill="1" applyBorder="1" applyAlignment="1">
      <alignment horizontal="center" vertical="top" textRotation="90" wrapText="1"/>
    </xf>
    <xf numFmtId="0" fontId="54" fillId="8" borderId="81" xfId="19" applyFont="1" applyFill="1" applyBorder="1" applyAlignment="1">
      <alignment horizontal="center" vertical="top" textRotation="90" wrapText="1"/>
    </xf>
    <xf numFmtId="1" fontId="54" fillId="35" borderId="81" xfId="19" applyNumberFormat="1" applyFont="1" applyFill="1" applyBorder="1" applyAlignment="1">
      <alignment horizontal="center" vertical="top" textRotation="90" wrapText="1"/>
    </xf>
    <xf numFmtId="164" fontId="54" fillId="36" borderId="81" xfId="19" applyNumberFormat="1" applyFont="1" applyFill="1" applyBorder="1" applyAlignment="1">
      <alignment horizontal="center" vertical="top" textRotation="90" wrapText="1"/>
    </xf>
    <xf numFmtId="10" fontId="134" fillId="37" borderId="82" xfId="19" applyNumberFormat="1" applyFont="1" applyFill="1" applyBorder="1" applyAlignment="1">
      <alignment horizontal="center" vertical="top" textRotation="90" wrapText="1"/>
    </xf>
    <xf numFmtId="10" fontId="134" fillId="37" borderId="81" xfId="19" applyNumberFormat="1" applyFont="1" applyFill="1" applyBorder="1" applyAlignment="1">
      <alignment horizontal="center" vertical="top" textRotation="90" wrapText="1"/>
    </xf>
    <xf numFmtId="164" fontId="134" fillId="38" borderId="81" xfId="19" applyNumberFormat="1" applyFont="1" applyFill="1" applyBorder="1" applyAlignment="1">
      <alignment horizontal="center" vertical="top" textRotation="90" wrapText="1"/>
    </xf>
    <xf numFmtId="164" fontId="54" fillId="39" borderId="81" xfId="19" applyNumberFormat="1" applyFont="1" applyFill="1" applyBorder="1" applyAlignment="1">
      <alignment horizontal="center" vertical="top" textRotation="90" wrapText="1"/>
    </xf>
    <xf numFmtId="164" fontId="54" fillId="40" borderId="83" xfId="19" applyNumberFormat="1" applyFont="1" applyFill="1" applyBorder="1" applyAlignment="1">
      <alignment horizontal="center" vertical="top" textRotation="90" wrapText="1"/>
    </xf>
    <xf numFmtId="164" fontId="54" fillId="41" borderId="81" xfId="19" applyNumberFormat="1" applyFont="1" applyFill="1" applyBorder="1" applyAlignment="1">
      <alignment horizontal="center" vertical="top" textRotation="90" wrapText="1"/>
    </xf>
    <xf numFmtId="164" fontId="54" fillId="35" borderId="83" xfId="19" applyNumberFormat="1" applyFont="1" applyFill="1" applyBorder="1" applyAlignment="1">
      <alignment horizontal="center" vertical="top" textRotation="90" wrapText="1"/>
    </xf>
    <xf numFmtId="164" fontId="54" fillId="35" borderId="81" xfId="19" applyNumberFormat="1" applyFont="1" applyFill="1" applyBorder="1" applyAlignment="1">
      <alignment horizontal="center" vertical="top" textRotation="90" wrapText="1"/>
    </xf>
    <xf numFmtId="164" fontId="64" fillId="35" borderId="81" xfId="19" applyNumberFormat="1" applyFont="1" applyFill="1" applyBorder="1" applyAlignment="1">
      <alignment horizontal="center" vertical="top" textRotation="90" wrapText="1"/>
    </xf>
    <xf numFmtId="14" fontId="54" fillId="35" borderId="81" xfId="19" applyNumberFormat="1" applyFont="1" applyFill="1" applyBorder="1" applyAlignment="1">
      <alignment horizontal="center" vertical="top" textRotation="90" wrapText="1"/>
    </xf>
    <xf numFmtId="183" fontId="54" fillId="2" borderId="84" xfId="0" applyNumberFormat="1" applyFont="1" applyFill="1" applyBorder="1" applyAlignment="1">
      <alignment horizontal="center" vertical="top" textRotation="90" wrapText="1"/>
    </xf>
    <xf numFmtId="1" fontId="54" fillId="42" borderId="85" xfId="19" applyNumberFormat="1" applyFont="1" applyFill="1" applyBorder="1" applyAlignment="1">
      <alignment horizontal="center" vertical="top" textRotation="90" wrapText="1"/>
    </xf>
    <xf numFmtId="1" fontId="54" fillId="42" borderId="81" xfId="19" applyNumberFormat="1" applyFont="1" applyFill="1" applyBorder="1" applyAlignment="1">
      <alignment horizontal="center" vertical="top" textRotation="90" wrapText="1"/>
    </xf>
    <xf numFmtId="1" fontId="54" fillId="42" borderId="86" xfId="19" applyNumberFormat="1" applyFont="1" applyFill="1" applyBorder="1" applyAlignment="1">
      <alignment horizontal="center" vertical="top" textRotation="90" wrapText="1"/>
    </xf>
    <xf numFmtId="164" fontId="54" fillId="37" borderId="81" xfId="19" applyNumberFormat="1" applyFont="1" applyFill="1" applyBorder="1" applyAlignment="1">
      <alignment horizontal="center" vertical="top" textRotation="90" wrapText="1"/>
    </xf>
    <xf numFmtId="192" fontId="54" fillId="37" borderId="87" xfId="19" applyNumberFormat="1" applyFont="1" applyFill="1" applyBorder="1" applyAlignment="1">
      <alignment horizontal="center" vertical="top" textRotation="90" wrapText="1"/>
    </xf>
    <xf numFmtId="192" fontId="54" fillId="37" borderId="88" xfId="19" applyNumberFormat="1" applyFont="1" applyFill="1" applyBorder="1" applyAlignment="1">
      <alignment horizontal="center" vertical="top" textRotation="90" wrapText="1"/>
    </xf>
    <xf numFmtId="2" fontId="54" fillId="28" borderId="89" xfId="19" applyNumberFormat="1" applyFont="1" applyFill="1" applyBorder="1" applyAlignment="1">
      <alignment horizontal="center" vertical="top" textRotation="90" wrapText="1"/>
    </xf>
    <xf numFmtId="1" fontId="54" fillId="28" borderId="89" xfId="19" applyNumberFormat="1" applyFont="1" applyFill="1" applyBorder="1" applyAlignment="1">
      <alignment horizontal="center" vertical="top" textRotation="90" wrapText="1"/>
    </xf>
    <xf numFmtId="0" fontId="54" fillId="43" borderId="90" xfId="0" applyFont="1" applyFill="1" applyBorder="1" applyAlignment="1">
      <alignment horizontal="center" wrapText="1"/>
    </xf>
    <xf numFmtId="2" fontId="0" fillId="44" borderId="14" xfId="0" applyNumberFormat="1" applyFill="1" applyBorder="1" applyAlignment="1">
      <alignment horizontal="left" vertical="top" wrapText="1"/>
    </xf>
    <xf numFmtId="10" fontId="54" fillId="8" borderId="91" xfId="19" applyNumberFormat="1" applyFont="1" applyFill="1" applyBorder="1" applyAlignment="1">
      <alignment horizontal="center" wrapText="1"/>
    </xf>
    <xf numFmtId="192" fontId="90" fillId="45" borderId="88" xfId="19" applyNumberFormat="1" applyFont="1" applyFill="1" applyBorder="1" applyAlignment="1">
      <alignment horizontal="center" vertical="top" textRotation="90" wrapText="1"/>
    </xf>
    <xf numFmtId="192" fontId="90" fillId="46" borderId="4" xfId="19" applyNumberFormat="1" applyFont="1" applyFill="1" applyBorder="1" applyAlignment="1">
      <alignment horizontal="center" vertical="top" textRotation="90" wrapText="1"/>
    </xf>
    <xf numFmtId="2" fontId="0" fillId="0" borderId="0" xfId="0" applyNumberFormat="1" applyAlignment="1">
      <alignment horizontal="left" vertical="top" wrapText="1"/>
    </xf>
    <xf numFmtId="14" fontId="2" fillId="0" borderId="0" xfId="0" applyNumberFormat="1" applyFont="1"/>
    <xf numFmtId="1" fontId="2" fillId="0" borderId="0" xfId="0" applyNumberFormat="1" applyFont="1"/>
    <xf numFmtId="9" fontId="2" fillId="6" borderId="0" xfId="0" applyNumberFormat="1" applyFont="1" applyFill="1"/>
    <xf numFmtId="168" fontId="2" fillId="0" borderId="0" xfId="0" applyNumberFormat="1" applyFont="1" applyAlignment="1">
      <alignment wrapText="1"/>
    </xf>
    <xf numFmtId="168" fontId="2" fillId="47" borderId="0" xfId="0" applyNumberFormat="1" applyFont="1" applyFill="1" applyAlignment="1">
      <alignment wrapText="1"/>
    </xf>
    <xf numFmtId="2" fontId="0" fillId="47" borderId="0" xfId="0" applyNumberFormat="1" applyFill="1" applyAlignment="1">
      <alignment wrapText="1"/>
    </xf>
    <xf numFmtId="44" fontId="2" fillId="0" borderId="0" xfId="2" applyFont="1"/>
    <xf numFmtId="168" fontId="2" fillId="6" borderId="0" xfId="0" applyNumberFormat="1" applyFont="1" applyFill="1"/>
    <xf numFmtId="168" fontId="2" fillId="47" borderId="0" xfId="0" applyNumberFormat="1" applyFont="1" applyFill="1"/>
    <xf numFmtId="177" fontId="2" fillId="47" borderId="0" xfId="0" applyNumberFormat="1" applyFont="1" applyFill="1"/>
    <xf numFmtId="193" fontId="2" fillId="47" borderId="0" xfId="0" applyNumberFormat="1" applyFont="1" applyFill="1"/>
    <xf numFmtId="165" fontId="2" fillId="0" borderId="0" xfId="0" applyNumberFormat="1" applyFont="1"/>
    <xf numFmtId="49" fontId="2" fillId="0" borderId="0" xfId="0" applyNumberFormat="1" applyFont="1"/>
    <xf numFmtId="10" fontId="59" fillId="47" borderId="0" xfId="0" applyNumberFormat="1" applyFont="1" applyFill="1"/>
    <xf numFmtId="4" fontId="59" fillId="47" borderId="0" xfId="0" applyNumberFormat="1" applyFont="1" applyFill="1"/>
    <xf numFmtId="2" fontId="59" fillId="47" borderId="0" xfId="0" applyNumberFormat="1" applyFont="1" applyFill="1"/>
    <xf numFmtId="0" fontId="59" fillId="47" borderId="0" xfId="0" applyFont="1" applyFill="1"/>
    <xf numFmtId="171" fontId="59" fillId="47" borderId="0" xfId="0" applyNumberFormat="1" applyFont="1" applyFill="1"/>
    <xf numFmtId="2" fontId="0" fillId="0" borderId="0" xfId="0" applyNumberFormat="1" applyAlignment="1">
      <alignment wrapText="1"/>
    </xf>
    <xf numFmtId="177" fontId="2" fillId="8" borderId="0" xfId="0" applyNumberFormat="1" applyFont="1" applyFill="1"/>
    <xf numFmtId="0" fontId="2" fillId="0" borderId="0" xfId="0" applyFont="1" applyAlignment="1">
      <alignment wrapText="1"/>
    </xf>
    <xf numFmtId="193" fontId="0" fillId="0" borderId="0" xfId="0" applyNumberFormat="1"/>
    <xf numFmtId="0" fontId="135" fillId="0" borderId="0" xfId="0" applyFont="1"/>
    <xf numFmtId="0" fontId="136" fillId="0" borderId="0" xfId="0" applyFont="1"/>
    <xf numFmtId="0" fontId="137" fillId="0" borderId="0" xfId="0" applyFont="1"/>
    <xf numFmtId="0" fontId="30" fillId="0" borderId="19" xfId="0" applyFont="1" applyBorder="1"/>
    <xf numFmtId="0" fontId="48" fillId="0" borderId="0" xfId="0" applyFont="1" applyProtection="1">
      <protection locked="0"/>
    </xf>
    <xf numFmtId="0" fontId="74" fillId="49" borderId="0" xfId="0" applyFont="1" applyFill="1" applyAlignment="1">
      <alignment wrapText="1"/>
    </xf>
    <xf numFmtId="44" fontId="2" fillId="0" borderId="0" xfId="2" applyFont="1" applyFill="1"/>
    <xf numFmtId="0" fontId="2" fillId="48" borderId="0" xfId="0" applyFont="1" applyFill="1" applyAlignment="1">
      <alignment wrapText="1"/>
    </xf>
    <xf numFmtId="1" fontId="59" fillId="20" borderId="0" xfId="0" applyNumberFormat="1" applyFont="1" applyFill="1"/>
    <xf numFmtId="0" fontId="59" fillId="15" borderId="7" xfId="0" applyFont="1" applyFill="1" applyBorder="1" applyProtection="1">
      <protection locked="0"/>
    </xf>
    <xf numFmtId="0" fontId="0" fillId="15" borderId="7" xfId="0" applyFill="1" applyBorder="1" applyProtection="1">
      <protection locked="0"/>
    </xf>
    <xf numFmtId="0" fontId="0" fillId="15" borderId="0" xfId="0" applyFill="1" applyProtection="1">
      <protection locked="0"/>
    </xf>
    <xf numFmtId="0" fontId="0" fillId="0" borderId="0" xfId="0" applyProtection="1">
      <protection locked="0"/>
    </xf>
    <xf numFmtId="0" fontId="34" fillId="0" borderId="0" xfId="0" applyFont="1" applyAlignment="1" applyProtection="1">
      <alignment vertical="top"/>
      <protection hidden="1"/>
    </xf>
    <xf numFmtId="0" fontId="45" fillId="0" borderId="0" xfId="0" applyFont="1" applyAlignment="1" applyProtection="1">
      <alignment vertical="top"/>
      <protection hidden="1"/>
    </xf>
    <xf numFmtId="0" fontId="45" fillId="0" borderId="5" xfId="0" applyFont="1" applyBorder="1" applyAlignment="1" applyProtection="1">
      <alignment vertical="top"/>
      <protection hidden="1"/>
    </xf>
    <xf numFmtId="0" fontId="0" fillId="6" borderId="4" xfId="0" applyFill="1" applyBorder="1" applyProtection="1">
      <protection locked="0"/>
    </xf>
    <xf numFmtId="0" fontId="2" fillId="8" borderId="0" xfId="0" applyFont="1" applyFill="1"/>
    <xf numFmtId="0" fontId="58" fillId="7" borderId="0" xfId="0" applyFont="1" applyFill="1" applyAlignment="1">
      <alignment wrapText="1"/>
    </xf>
    <xf numFmtId="2" fontId="2" fillId="0" borderId="0" xfId="0" applyNumberFormat="1" applyFont="1" applyAlignment="1">
      <alignment wrapText="1"/>
    </xf>
    <xf numFmtId="0" fontId="2" fillId="14" borderId="0" xfId="0" applyFont="1" applyFill="1"/>
    <xf numFmtId="10" fontId="59" fillId="0" borderId="0" xfId="3" applyNumberFormat="1" applyFont="1"/>
    <xf numFmtId="10" fontId="59" fillId="0" borderId="0" xfId="0" applyNumberFormat="1" applyFont="1"/>
    <xf numFmtId="180" fontId="59" fillId="0" borderId="0" xfId="0" applyNumberFormat="1" applyFont="1"/>
    <xf numFmtId="2" fontId="2" fillId="0" borderId="0" xfId="0" applyNumberFormat="1" applyFont="1"/>
    <xf numFmtId="0" fontId="2" fillId="0" borderId="21" xfId="0" applyFont="1" applyBorder="1" applyAlignment="1">
      <alignment vertical="top" wrapText="1"/>
    </xf>
    <xf numFmtId="14" fontId="2" fillId="0" borderId="20" xfId="0" applyNumberFormat="1" applyFont="1" applyBorder="1" applyAlignment="1">
      <alignment horizontal="left" vertical="top"/>
    </xf>
    <xf numFmtId="0" fontId="32" fillId="0" borderId="19" xfId="0" applyFont="1" applyBorder="1"/>
    <xf numFmtId="0" fontId="32" fillId="0" borderId="21" xfId="0" applyFont="1" applyBorder="1"/>
    <xf numFmtId="0" fontId="0" fillId="0" borderId="0" xfId="0" applyAlignment="1">
      <alignment horizontal="center"/>
    </xf>
    <xf numFmtId="0" fontId="50" fillId="2" borderId="0" xfId="0" applyFont="1" applyFill="1" applyAlignment="1">
      <alignment horizontal="center"/>
    </xf>
    <xf numFmtId="187" fontId="51" fillId="0" borderId="0" xfId="0" applyNumberFormat="1" applyFont="1"/>
    <xf numFmtId="0" fontId="49" fillId="29" borderId="0" xfId="0" applyFont="1" applyFill="1" applyAlignment="1">
      <alignment horizontal="center"/>
    </xf>
    <xf numFmtId="14" fontId="0" fillId="0" borderId="0" xfId="0" applyNumberFormat="1"/>
    <xf numFmtId="0" fontId="46" fillId="0" borderId="0" xfId="0" applyFont="1"/>
    <xf numFmtId="0" fontId="55" fillId="0" borderId="0" xfId="0" applyFont="1" applyAlignment="1">
      <alignment horizontal="left"/>
    </xf>
    <xf numFmtId="0" fontId="55" fillId="0" borderId="0" xfId="0" applyFont="1"/>
    <xf numFmtId="0" fontId="113" fillId="0" borderId="0" xfId="0" applyFont="1" applyAlignment="1">
      <alignment wrapText="1"/>
    </xf>
    <xf numFmtId="0" fontId="50" fillId="0" borderId="0" xfId="0" applyFont="1" applyAlignment="1">
      <alignment wrapText="1"/>
    </xf>
    <xf numFmtId="10" fontId="43" fillId="0" borderId="0" xfId="0" applyNumberFormat="1" applyFont="1" applyAlignment="1">
      <alignment horizontal="center" vertical="center" wrapText="1"/>
    </xf>
    <xf numFmtId="0" fontId="19" fillId="6" borderId="5" xfId="0" applyFont="1" applyFill="1" applyBorder="1" applyProtection="1">
      <protection hidden="1"/>
    </xf>
    <xf numFmtId="0" fontId="30" fillId="0" borderId="21" xfId="0" applyFont="1" applyBorder="1"/>
    <xf numFmtId="0" fontId="0" fillId="0" borderId="0" xfId="0" applyAlignment="1">
      <alignment vertical="top" wrapText="1"/>
    </xf>
    <xf numFmtId="0" fontId="0" fillId="0" borderId="0" xfId="0" applyAlignment="1">
      <alignment vertical="top"/>
    </xf>
    <xf numFmtId="0" fontId="48" fillId="0" borderId="0" xfId="1" applyFont="1" applyAlignment="1" applyProtection="1"/>
    <xf numFmtId="0" fontId="50" fillId="18" borderId="1" xfId="0" applyFont="1" applyFill="1" applyBorder="1" applyAlignment="1">
      <alignment horizontal="center" vertical="center" wrapText="1"/>
    </xf>
    <xf numFmtId="0" fontId="50" fillId="18" borderId="2" xfId="0" applyFont="1" applyFill="1" applyBorder="1" applyAlignment="1">
      <alignment horizontal="center" vertical="center" wrapText="1"/>
    </xf>
    <xf numFmtId="0" fontId="50" fillId="18" borderId="3" xfId="0" applyFont="1" applyFill="1" applyBorder="1" applyAlignment="1">
      <alignment horizontal="center" vertical="center" wrapText="1"/>
    </xf>
    <xf numFmtId="0" fontId="50" fillId="18" borderId="6" xfId="0" applyFont="1" applyFill="1" applyBorder="1" applyAlignment="1">
      <alignment horizontal="center" vertical="center" wrapText="1"/>
    </xf>
    <xf numFmtId="0" fontId="50" fillId="18" borderId="7" xfId="0" applyFont="1" applyFill="1" applyBorder="1" applyAlignment="1">
      <alignment horizontal="center" vertical="center" wrapText="1"/>
    </xf>
    <xf numFmtId="0" fontId="50" fillId="18" borderId="8" xfId="0" applyFont="1" applyFill="1" applyBorder="1" applyAlignment="1">
      <alignment horizontal="center" vertical="center" wrapText="1"/>
    </xf>
    <xf numFmtId="0" fontId="0" fillId="6" borderId="0" xfId="0" applyFill="1" applyAlignment="1">
      <alignment vertical="top" wrapText="1"/>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wrapText="1"/>
    </xf>
    <xf numFmtId="0" fontId="0" fillId="0" borderId="0" xfId="0"/>
    <xf numFmtId="0" fontId="48" fillId="0" borderId="14" xfId="0" applyFont="1" applyBorder="1" applyAlignment="1">
      <alignment vertical="center" wrapText="1"/>
    </xf>
    <xf numFmtId="0" fontId="0" fillId="0" borderId="14" xfId="0" applyBorder="1"/>
    <xf numFmtId="0" fontId="48" fillId="33" borderId="14" xfId="0" applyFont="1" applyFill="1" applyBorder="1" applyAlignment="1">
      <alignment vertical="center" wrapText="1"/>
    </xf>
    <xf numFmtId="0" fontId="0" fillId="0" borderId="14" xfId="0" applyBorder="1" applyAlignment="1">
      <alignment vertical="center" wrapText="1"/>
    </xf>
    <xf numFmtId="0" fontId="48" fillId="0" borderId="7" xfId="0" applyFont="1" applyBorder="1" applyAlignment="1">
      <alignment vertical="center" wrapText="1"/>
    </xf>
    <xf numFmtId="0" fontId="0" fillId="0" borderId="7" xfId="0" applyBorder="1"/>
    <xf numFmtId="0" fontId="0" fillId="0" borderId="8" xfId="0" applyBorder="1"/>
    <xf numFmtId="0" fontId="48" fillId="0" borderId="12" xfId="0" applyFont="1" applyBorder="1" applyAlignment="1">
      <alignment vertical="center" wrapText="1"/>
    </xf>
    <xf numFmtId="0" fontId="0" fillId="0" borderId="18" xfId="0" applyBorder="1"/>
    <xf numFmtId="0" fontId="0" fillId="0" borderId="13" xfId="0" applyBorder="1"/>
    <xf numFmtId="0" fontId="50" fillId="0" borderId="0" xfId="0" applyFont="1"/>
    <xf numFmtId="0" fontId="82" fillId="8" borderId="0" xfId="1" applyFont="1" applyFill="1" applyBorder="1" applyAlignment="1" applyProtection="1">
      <alignment vertical="center" textRotation="255"/>
    </xf>
    <xf numFmtId="0" fontId="82" fillId="8" borderId="0" xfId="1" applyFont="1" applyFill="1" applyBorder="1" applyAlignment="1" applyProtection="1">
      <alignment horizontal="center" vertical="center" textRotation="255"/>
    </xf>
    <xf numFmtId="0" fontId="120" fillId="30" borderId="0" xfId="18" applyFont="1" applyFill="1" applyAlignment="1">
      <alignment horizontal="center" vertical="center" wrapText="1"/>
    </xf>
    <xf numFmtId="0" fontId="0" fillId="0" borderId="0" xfId="0" applyAlignment="1">
      <alignment vertical="center" wrapText="1"/>
    </xf>
    <xf numFmtId="0" fontId="58" fillId="7" borderId="0" xfId="0" applyFont="1" applyFill="1" applyAlignment="1">
      <alignment horizontal="center"/>
    </xf>
    <xf numFmtId="0" fontId="58" fillId="7" borderId="0" xfId="0" applyFont="1" applyFill="1" applyAlignment="1">
      <alignment horizontal="center" wrapText="1"/>
    </xf>
    <xf numFmtId="0" fontId="11" fillId="0" borderId="0" xfId="0" applyFont="1" applyAlignment="1">
      <alignment horizontal="center"/>
    </xf>
    <xf numFmtId="0" fontId="11" fillId="0" borderId="14" xfId="0" applyFont="1" applyBorder="1" applyAlignment="1">
      <alignment horizontal="center"/>
    </xf>
    <xf numFmtId="0" fontId="128" fillId="8" borderId="9" xfId="0" applyFont="1" applyFill="1" applyBorder="1" applyAlignment="1">
      <alignment horizontal="center" vertical="center" wrapText="1"/>
    </xf>
    <xf numFmtId="0" fontId="128" fillId="8" borderId="10" xfId="0" applyFont="1" applyFill="1" applyBorder="1" applyAlignment="1">
      <alignment horizontal="center" vertical="center" wrapText="1"/>
    </xf>
    <xf numFmtId="0" fontId="128" fillId="8" borderId="11" xfId="0" applyFont="1" applyFill="1" applyBorder="1" applyAlignment="1">
      <alignment horizontal="center" vertical="center" wrapText="1"/>
    </xf>
    <xf numFmtId="0" fontId="26" fillId="0" borderId="12" xfId="0" applyFont="1" applyBorder="1" applyAlignment="1">
      <alignment horizontal="center" vertical="center"/>
    </xf>
    <xf numFmtId="0" fontId="26" fillId="0" borderId="18" xfId="0" applyFont="1" applyBorder="1" applyAlignment="1">
      <alignment horizontal="center" vertical="center"/>
    </xf>
    <xf numFmtId="0" fontId="26" fillId="0" borderId="13" xfId="0" applyFont="1" applyBorder="1" applyAlignment="1">
      <alignment horizontal="center" vertical="center"/>
    </xf>
    <xf numFmtId="0" fontId="129" fillId="14" borderId="12" xfId="0" applyFont="1" applyFill="1" applyBorder="1" applyAlignment="1">
      <alignment horizontal="center" wrapText="1"/>
    </xf>
    <xf numFmtId="0" fontId="129" fillId="14" borderId="13" xfId="0" applyFont="1" applyFill="1" applyBorder="1" applyAlignment="1">
      <alignment horizontal="center" wrapText="1"/>
    </xf>
    <xf numFmtId="0" fontId="129" fillId="14" borderId="12" xfId="0" applyFont="1" applyFill="1" applyBorder="1" applyAlignment="1">
      <alignment horizontal="center"/>
    </xf>
    <xf numFmtId="0" fontId="129" fillId="14" borderId="13" xfId="0" applyFont="1" applyFill="1" applyBorder="1" applyAlignment="1">
      <alignment horizontal="center"/>
    </xf>
    <xf numFmtId="0" fontId="128" fillId="28" borderId="37" xfId="0" applyFont="1" applyFill="1" applyBorder="1" applyAlignment="1">
      <alignment wrapText="1"/>
    </xf>
    <xf numFmtId="0" fontId="128" fillId="28" borderId="36" xfId="0" applyFont="1" applyFill="1" applyBorder="1" applyAlignment="1">
      <alignment wrapText="1"/>
    </xf>
    <xf numFmtId="0" fontId="128" fillId="28" borderId="38" xfId="0" applyFont="1" applyFill="1" applyBorder="1" applyAlignment="1">
      <alignment wrapText="1"/>
    </xf>
    <xf numFmtId="0" fontId="129" fillId="6" borderId="9" xfId="0" applyFont="1" applyFill="1" applyBorder="1" applyAlignment="1">
      <alignment horizontal="left"/>
    </xf>
    <xf numFmtId="0" fontId="129" fillId="6" borderId="11" xfId="0" applyFont="1" applyFill="1" applyBorder="1" applyAlignment="1">
      <alignment horizontal="left"/>
    </xf>
    <xf numFmtId="49" fontId="59" fillId="4" borderId="7" xfId="0" applyNumberFormat="1" applyFont="1" applyFill="1" applyBorder="1" applyProtection="1">
      <protection locked="0"/>
    </xf>
    <xf numFmtId="49" fontId="0" fillId="0" borderId="7" xfId="0" applyNumberFormat="1" applyBorder="1" applyProtection="1">
      <protection locked="0"/>
    </xf>
    <xf numFmtId="49" fontId="4" fillId="3" borderId="7" xfId="0" applyNumberFormat="1" applyFont="1" applyFill="1" applyBorder="1" applyAlignment="1" applyProtection="1">
      <alignment vertical="center"/>
      <protection locked="0"/>
    </xf>
    <xf numFmtId="0" fontId="23" fillId="3" borderId="7" xfId="0" applyFont="1" applyFill="1" applyBorder="1" applyAlignment="1" applyProtection="1">
      <alignment vertical="center"/>
      <protection locked="0"/>
    </xf>
    <xf numFmtId="49" fontId="59" fillId="4" borderId="7" xfId="0" applyNumberFormat="1" applyFont="1" applyFill="1" applyBorder="1" applyAlignment="1" applyProtection="1">
      <alignment horizontal="left"/>
      <protection locked="0"/>
    </xf>
    <xf numFmtId="49" fontId="0" fillId="0" borderId="7" xfId="0" applyNumberFormat="1" applyBorder="1" applyAlignment="1" applyProtection="1">
      <alignment horizontal="left"/>
      <protection locked="0"/>
    </xf>
    <xf numFmtId="0" fontId="0" fillId="0" borderId="7" xfId="0" applyBorder="1" applyProtection="1">
      <protection locked="0"/>
    </xf>
    <xf numFmtId="0" fontId="59" fillId="4" borderId="7" xfId="0" applyFont="1" applyFill="1" applyBorder="1" applyProtection="1">
      <protection locked="0"/>
    </xf>
    <xf numFmtId="49" fontId="61" fillId="4" borderId="7" xfId="1" applyNumberFormat="1" applyFill="1" applyBorder="1" applyAlignment="1" applyProtection="1">
      <alignment horizontal="left"/>
      <protection locked="0"/>
    </xf>
    <xf numFmtId="49" fontId="61" fillId="4" borderId="7" xfId="1" applyNumberFormat="1" applyFill="1" applyBorder="1" applyAlignment="1" applyProtection="1">
      <protection locked="0"/>
    </xf>
    <xf numFmtId="0" fontId="3" fillId="27" borderId="7" xfId="0" applyFont="1" applyFill="1" applyBorder="1" applyProtection="1">
      <protection locked="0"/>
    </xf>
    <xf numFmtId="0" fontId="24" fillId="27" borderId="7" xfId="0" applyFont="1" applyFill="1" applyBorder="1" applyProtection="1">
      <protection locked="0"/>
    </xf>
    <xf numFmtId="0" fontId="59" fillId="4" borderId="7" xfId="0" applyFont="1" applyFill="1" applyBorder="1" applyAlignment="1" applyProtection="1">
      <alignment vertical="top"/>
      <protection locked="0"/>
    </xf>
    <xf numFmtId="0" fontId="47" fillId="0" borderId="0" xfId="0" applyFont="1" applyAlignment="1">
      <alignment horizontal="center"/>
    </xf>
    <xf numFmtId="0" fontId="61" fillId="5" borderId="9" xfId="1" applyFill="1" applyBorder="1" applyAlignment="1" applyProtection="1">
      <alignment horizontal="center" wrapText="1"/>
      <protection locked="0"/>
    </xf>
    <xf numFmtId="0" fontId="61" fillId="0" borderId="10" xfId="1" applyBorder="1" applyAlignment="1" applyProtection="1">
      <protection locked="0"/>
    </xf>
    <xf numFmtId="0" fontId="61" fillId="0" borderId="11" xfId="1" applyBorder="1" applyAlignment="1" applyProtection="1">
      <protection locked="0"/>
    </xf>
    <xf numFmtId="0" fontId="26" fillId="27" borderId="12" xfId="0" applyFont="1" applyFill="1" applyBorder="1" applyAlignment="1" applyProtection="1">
      <alignment horizontal="left"/>
      <protection locked="0"/>
    </xf>
    <xf numFmtId="0" fontId="26" fillId="27" borderId="18" xfId="0" applyFont="1" applyFill="1" applyBorder="1" applyAlignment="1" applyProtection="1">
      <alignment horizontal="left"/>
      <protection locked="0"/>
    </xf>
    <xf numFmtId="0" fontId="26" fillId="27" borderId="13" xfId="0" applyFont="1" applyFill="1" applyBorder="1" applyAlignment="1" applyProtection="1">
      <alignment horizontal="left"/>
      <protection locked="0"/>
    </xf>
    <xf numFmtId="49" fontId="26" fillId="3" borderId="12" xfId="0" applyNumberFormat="1" applyFont="1" applyFill="1" applyBorder="1" applyAlignment="1" applyProtection="1">
      <alignment horizontal="center" vertical="center"/>
      <protection locked="0"/>
    </xf>
    <xf numFmtId="49" fontId="26" fillId="3" borderId="18" xfId="0" applyNumberFormat="1" applyFont="1" applyFill="1" applyBorder="1" applyAlignment="1" applyProtection="1">
      <alignment horizontal="center" vertical="center"/>
      <protection locked="0"/>
    </xf>
    <xf numFmtId="49" fontId="26" fillId="3" borderId="13" xfId="0" applyNumberFormat="1" applyFont="1" applyFill="1" applyBorder="1" applyAlignment="1" applyProtection="1">
      <alignment horizontal="center" vertical="center"/>
      <protection locked="0"/>
    </xf>
    <xf numFmtId="0" fontId="51" fillId="2" borderId="1" xfId="0" applyFont="1" applyFill="1" applyBorder="1" applyAlignment="1" applyProtection="1">
      <alignment horizontal="center" vertical="center" wrapText="1"/>
      <protection hidden="1"/>
    </xf>
    <xf numFmtId="0" fontId="51" fillId="2" borderId="2" xfId="0" applyFont="1" applyFill="1" applyBorder="1" applyAlignment="1" applyProtection="1">
      <alignment horizontal="center" vertical="center" wrapText="1"/>
      <protection hidden="1"/>
    </xf>
    <xf numFmtId="0" fontId="51" fillId="2" borderId="3" xfId="0" applyFont="1" applyFill="1" applyBorder="1" applyAlignment="1" applyProtection="1">
      <alignment horizontal="center" vertical="center" wrapText="1"/>
      <protection hidden="1"/>
    </xf>
    <xf numFmtId="0" fontId="51" fillId="2" borderId="4" xfId="0" applyFont="1" applyFill="1" applyBorder="1" applyAlignment="1" applyProtection="1">
      <alignment horizontal="center"/>
      <protection hidden="1"/>
    </xf>
    <xf numFmtId="0" fontId="51" fillId="2" borderId="0" xfId="0" applyFont="1" applyFill="1" applyAlignment="1" applyProtection="1">
      <alignment horizontal="center"/>
      <protection hidden="1"/>
    </xf>
    <xf numFmtId="0" fontId="51" fillId="2" borderId="5" xfId="0" applyFont="1" applyFill="1" applyBorder="1" applyAlignment="1" applyProtection="1">
      <alignment horizontal="center"/>
      <protection hidden="1"/>
    </xf>
    <xf numFmtId="0" fontId="13" fillId="14" borderId="9" xfId="0" applyFont="1" applyFill="1" applyBorder="1" applyAlignment="1" applyProtection="1">
      <alignment horizontal="center"/>
      <protection locked="0"/>
    </xf>
    <xf numFmtId="0" fontId="47" fillId="14" borderId="10" xfId="0" applyFont="1" applyFill="1" applyBorder="1" applyAlignment="1" applyProtection="1">
      <alignment horizontal="center"/>
      <protection locked="0"/>
    </xf>
    <xf numFmtId="0" fontId="47" fillId="14" borderId="11" xfId="0" applyFont="1" applyFill="1" applyBorder="1" applyAlignment="1" applyProtection="1">
      <alignment horizontal="center"/>
      <protection locked="0"/>
    </xf>
    <xf numFmtId="191" fontId="59" fillId="3" borderId="12" xfId="0" applyNumberFormat="1" applyFont="1" applyFill="1" applyBorder="1" applyAlignment="1" applyProtection="1">
      <alignment horizontal="center"/>
      <protection locked="0"/>
    </xf>
    <xf numFmtId="191" fontId="59" fillId="3" borderId="13" xfId="0" applyNumberFormat="1" applyFont="1" applyFill="1" applyBorder="1" applyAlignment="1" applyProtection="1">
      <alignment horizontal="center"/>
      <protection locked="0"/>
    </xf>
    <xf numFmtId="14" fontId="132" fillId="0" borderId="1" xfId="0" applyNumberFormat="1" applyFont="1" applyBorder="1" applyAlignment="1" applyProtection="1">
      <alignment horizontal="left"/>
      <protection hidden="1"/>
    </xf>
    <xf numFmtId="0" fontId="132" fillId="0" borderId="2" xfId="0" applyFont="1" applyBorder="1" applyAlignment="1">
      <alignment horizontal="left"/>
    </xf>
    <xf numFmtId="14" fontId="47" fillId="3" borderId="12" xfId="0" applyNumberFormat="1" applyFont="1" applyFill="1" applyBorder="1" applyAlignment="1" applyProtection="1">
      <alignment horizontal="center"/>
      <protection locked="0"/>
    </xf>
    <xf numFmtId="14" fontId="47" fillId="3" borderId="13" xfId="0" applyNumberFormat="1" applyFont="1" applyFill="1" applyBorder="1" applyAlignment="1" applyProtection="1">
      <alignment horizontal="center"/>
      <protection locked="0"/>
    </xf>
    <xf numFmtId="0" fontId="0" fillId="8" borderId="0" xfId="0" applyFill="1" applyAlignment="1">
      <alignment horizontal="center"/>
    </xf>
    <xf numFmtId="0" fontId="0" fillId="8" borderId="0" xfId="0" applyFill="1" applyAlignment="1">
      <alignment horizontal="left" wrapText="1"/>
    </xf>
    <xf numFmtId="0" fontId="0" fillId="8" borderId="0" xfId="0" applyFill="1" applyAlignment="1">
      <alignment horizontal="left" vertical="top" wrapText="1"/>
    </xf>
    <xf numFmtId="0" fontId="50" fillId="2" borderId="12" xfId="0" applyFont="1" applyFill="1" applyBorder="1" applyAlignment="1">
      <alignment horizontal="center" vertical="center"/>
    </xf>
    <xf numFmtId="0" fontId="50" fillId="2" borderId="18" xfId="0" applyFont="1" applyFill="1" applyBorder="1" applyAlignment="1">
      <alignment horizontal="center" vertical="center"/>
    </xf>
    <xf numFmtId="0" fontId="50" fillId="2" borderId="13" xfId="0" applyFont="1" applyFill="1" applyBorder="1" applyAlignment="1">
      <alignment horizontal="center" vertical="center"/>
    </xf>
    <xf numFmtId="0" fontId="0" fillId="15" borderId="1" xfId="0" applyFill="1" applyBorder="1" applyAlignment="1" applyProtection="1">
      <alignment horizontal="left" vertical="top" wrapText="1"/>
      <protection locked="0"/>
    </xf>
    <xf numFmtId="0" fontId="0" fillId="15" borderId="2" xfId="0" applyFill="1" applyBorder="1" applyAlignment="1" applyProtection="1">
      <alignment horizontal="left" vertical="top" wrapText="1"/>
      <protection locked="0"/>
    </xf>
    <xf numFmtId="0" fontId="0" fillId="15" borderId="3" xfId="0" applyFill="1" applyBorder="1" applyAlignment="1" applyProtection="1">
      <alignment horizontal="left" vertical="top" wrapText="1"/>
      <protection locked="0"/>
    </xf>
    <xf numFmtId="0" fontId="0" fillId="15" borderId="4" xfId="0" applyFill="1" applyBorder="1" applyAlignment="1" applyProtection="1">
      <alignment horizontal="left" vertical="top" wrapText="1"/>
      <protection locked="0"/>
    </xf>
    <xf numFmtId="0" fontId="0" fillId="15" borderId="0" xfId="0" applyFill="1" applyAlignment="1" applyProtection="1">
      <alignment horizontal="left" vertical="top" wrapText="1"/>
      <protection locked="0"/>
    </xf>
    <xf numFmtId="0" fontId="0" fillId="15" borderId="5" xfId="0" applyFill="1" applyBorder="1" applyAlignment="1" applyProtection="1">
      <alignment horizontal="left" vertical="top" wrapText="1"/>
      <protection locked="0"/>
    </xf>
    <xf numFmtId="0" fontId="0" fillId="15" borderId="6" xfId="0" applyFill="1" applyBorder="1" applyAlignment="1" applyProtection="1">
      <alignment horizontal="left" vertical="top" wrapText="1"/>
      <protection locked="0"/>
    </xf>
    <xf numFmtId="0" fontId="0" fillId="15" borderId="7" xfId="0" applyFill="1" applyBorder="1" applyAlignment="1" applyProtection="1">
      <alignment horizontal="left" vertical="top" wrapText="1"/>
      <protection locked="0"/>
    </xf>
    <xf numFmtId="0" fontId="0" fillId="15" borderId="8" xfId="0" applyFill="1" applyBorder="1" applyAlignment="1" applyProtection="1">
      <alignment horizontal="left" vertical="top" wrapText="1"/>
      <protection locked="0"/>
    </xf>
    <xf numFmtId="0" fontId="0" fillId="2" borderId="12" xfId="0" applyFill="1" applyBorder="1" applyAlignment="1">
      <alignment horizontal="center"/>
    </xf>
    <xf numFmtId="0" fontId="82" fillId="2" borderId="18" xfId="0" applyFont="1" applyFill="1" applyBorder="1" applyAlignment="1">
      <alignment horizontal="center"/>
    </xf>
    <xf numFmtId="0" fontId="82" fillId="2" borderId="13" xfId="0" applyFont="1" applyFill="1" applyBorder="1" applyAlignment="1">
      <alignment horizontal="center"/>
    </xf>
    <xf numFmtId="0" fontId="0" fillId="0" borderId="12" xfId="0" applyBorder="1" applyAlignment="1">
      <alignment horizontal="left"/>
    </xf>
    <xf numFmtId="0" fontId="0" fillId="0" borderId="13" xfId="0" applyBorder="1" applyAlignment="1">
      <alignment horizontal="left"/>
    </xf>
    <xf numFmtId="0" fontId="50" fillId="2" borderId="46" xfId="0" applyFont="1" applyFill="1" applyBorder="1" applyAlignment="1">
      <alignment horizontal="center"/>
    </xf>
    <xf numFmtId="0" fontId="50" fillId="2" borderId="42" xfId="0" applyFont="1" applyFill="1" applyBorder="1" applyAlignment="1">
      <alignment horizontal="center"/>
    </xf>
    <xf numFmtId="0" fontId="50" fillId="2" borderId="43" xfId="0" applyFont="1" applyFill="1" applyBorder="1" applyAlignment="1">
      <alignment horizontal="center"/>
    </xf>
    <xf numFmtId="0" fontId="0" fillId="15" borderId="6" xfId="0" applyFill="1" applyBorder="1" applyAlignment="1" applyProtection="1">
      <alignment horizontal="left"/>
      <protection locked="0"/>
    </xf>
    <xf numFmtId="0" fontId="0" fillId="15" borderId="7" xfId="0" applyFill="1" applyBorder="1" applyAlignment="1" applyProtection="1">
      <alignment horizontal="left"/>
      <protection locked="0"/>
    </xf>
    <xf numFmtId="0" fontId="0" fillId="15" borderId="8" xfId="0" applyFill="1" applyBorder="1" applyAlignment="1" applyProtection="1">
      <alignment horizontal="left"/>
      <protection locked="0"/>
    </xf>
    <xf numFmtId="0" fontId="0" fillId="15" borderId="12" xfId="0" applyFill="1" applyBorder="1" applyAlignment="1" applyProtection="1">
      <alignment horizontal="left"/>
      <protection locked="0"/>
    </xf>
    <xf numFmtId="0" fontId="0" fillId="15" borderId="18" xfId="0" applyFill="1" applyBorder="1" applyAlignment="1" applyProtection="1">
      <alignment horizontal="left"/>
      <protection locked="0"/>
    </xf>
    <xf numFmtId="0" fontId="0" fillId="15" borderId="13" xfId="0" applyFill="1" applyBorder="1" applyAlignment="1" applyProtection="1">
      <alignment horizontal="left"/>
      <protection locked="0"/>
    </xf>
    <xf numFmtId="0" fontId="61" fillId="5" borderId="10" xfId="1" applyFill="1" applyBorder="1" applyAlignment="1" applyProtection="1">
      <alignment horizontal="center" wrapText="1"/>
      <protection locked="0"/>
    </xf>
    <xf numFmtId="0" fontId="61" fillId="5" borderId="11" xfId="1" applyFill="1" applyBorder="1" applyAlignment="1" applyProtection="1">
      <alignment horizontal="center" wrapText="1"/>
      <protection locked="0"/>
    </xf>
    <xf numFmtId="0" fontId="50" fillId="2" borderId="1" xfId="0" applyFont="1" applyFill="1" applyBorder="1" applyAlignment="1">
      <alignment horizontal="center"/>
    </xf>
    <xf numFmtId="0" fontId="50" fillId="2" borderId="2" xfId="0" applyFont="1" applyFill="1" applyBorder="1" applyAlignment="1">
      <alignment horizontal="center"/>
    </xf>
    <xf numFmtId="0" fontId="50" fillId="2" borderId="4" xfId="0" applyFont="1" applyFill="1" applyBorder="1" applyAlignment="1">
      <alignment horizontal="center"/>
    </xf>
    <xf numFmtId="0" fontId="50" fillId="2" borderId="0" xfId="0" applyFont="1" applyFill="1" applyAlignment="1">
      <alignment horizontal="center"/>
    </xf>
    <xf numFmtId="0" fontId="50" fillId="2" borderId="47" xfId="0" applyFont="1" applyFill="1" applyBorder="1" applyAlignment="1">
      <alignment horizontal="center"/>
    </xf>
    <xf numFmtId="0" fontId="0" fillId="6" borderId="12" xfId="0" applyFill="1" applyBorder="1" applyAlignment="1">
      <alignment horizontal="left" wrapText="1"/>
    </xf>
    <xf numFmtId="0" fontId="0" fillId="6" borderId="13" xfId="0" applyFill="1" applyBorder="1" applyAlignment="1">
      <alignment horizontal="left" wrapText="1"/>
    </xf>
    <xf numFmtId="0" fontId="0" fillId="6" borderId="18" xfId="0" applyFill="1" applyBorder="1" applyAlignment="1">
      <alignment horizontal="left" wrapText="1"/>
    </xf>
    <xf numFmtId="0" fontId="40" fillId="2" borderId="2" xfId="0" applyFont="1" applyFill="1" applyBorder="1" applyAlignment="1">
      <alignment horizontal="left"/>
    </xf>
    <xf numFmtId="0" fontId="59" fillId="2" borderId="7" xfId="0" applyFont="1" applyFill="1" applyBorder="1" applyAlignment="1">
      <alignment horizontal="left"/>
    </xf>
    <xf numFmtId="0" fontId="40" fillId="2" borderId="3" xfId="0" applyFont="1" applyFill="1" applyBorder="1" applyAlignment="1">
      <alignment horizontal="left"/>
    </xf>
    <xf numFmtId="14" fontId="40" fillId="2" borderId="7" xfId="0" applyNumberFormat="1" applyFont="1" applyFill="1" applyBorder="1" applyAlignment="1">
      <alignment horizontal="left"/>
    </xf>
    <xf numFmtId="14" fontId="40" fillId="2" borderId="8" xfId="0" applyNumberFormat="1" applyFont="1" applyFill="1" applyBorder="1" applyAlignment="1">
      <alignment horizontal="left"/>
    </xf>
    <xf numFmtId="0" fontId="0" fillId="2" borderId="12" xfId="0" applyFill="1" applyBorder="1" applyAlignment="1">
      <alignment horizontal="center" vertical="center"/>
    </xf>
    <xf numFmtId="0" fontId="0" fillId="2" borderId="18" xfId="0" applyFill="1" applyBorder="1" applyAlignment="1">
      <alignment horizontal="center" vertical="center"/>
    </xf>
    <xf numFmtId="0" fontId="0" fillId="2" borderId="13" xfId="0" applyFill="1" applyBorder="1" applyAlignment="1">
      <alignment horizontal="center" vertical="center"/>
    </xf>
    <xf numFmtId="0" fontId="0" fillId="0" borderId="0" xfId="0" applyAlignment="1">
      <alignment horizontal="center"/>
    </xf>
    <xf numFmtId="0" fontId="0" fillId="0" borderId="5" xfId="0" applyBorder="1" applyAlignment="1">
      <alignment horizontal="center"/>
    </xf>
    <xf numFmtId="0" fontId="0" fillId="26" borderId="0" xfId="0" applyFill="1" applyAlignment="1">
      <alignment horizontal="center"/>
    </xf>
    <xf numFmtId="165" fontId="85" fillId="14" borderId="24" xfId="0" applyNumberFormat="1" applyFont="1" applyFill="1" applyBorder="1" applyAlignment="1">
      <alignment horizontal="center"/>
    </xf>
    <xf numFmtId="165" fontId="85" fillId="14" borderId="49" xfId="0" applyNumberFormat="1" applyFont="1" applyFill="1" applyBorder="1" applyAlignment="1">
      <alignment horizontal="center"/>
    </xf>
    <xf numFmtId="165" fontId="85" fillId="14" borderId="53" xfId="0" applyNumberFormat="1" applyFont="1" applyFill="1" applyBorder="1" applyAlignment="1">
      <alignment horizontal="center"/>
    </xf>
    <xf numFmtId="0" fontId="38" fillId="6" borderId="0" xfId="0" applyFont="1" applyFill="1" applyAlignment="1" applyProtection="1">
      <alignment horizontal="center"/>
      <protection hidden="1"/>
    </xf>
    <xf numFmtId="0" fontId="0" fillId="14" borderId="20" xfId="0" applyFill="1" applyBorder="1" applyAlignment="1" applyProtection="1">
      <alignment horizontal="center" vertical="center"/>
      <protection hidden="1"/>
    </xf>
    <xf numFmtId="0" fontId="0" fillId="14" borderId="21" xfId="0" applyFill="1" applyBorder="1" applyAlignment="1" applyProtection="1">
      <alignment horizontal="center" vertical="center"/>
      <protection hidden="1"/>
    </xf>
    <xf numFmtId="180" fontId="85" fillId="14" borderId="73" xfId="0" applyNumberFormat="1" applyFont="1" applyFill="1" applyBorder="1" applyAlignment="1">
      <alignment horizontal="left"/>
    </xf>
    <xf numFmtId="180" fontId="85" fillId="14" borderId="74" xfId="0" applyNumberFormat="1" applyFont="1" applyFill="1" applyBorder="1" applyAlignment="1">
      <alignment horizontal="left"/>
    </xf>
    <xf numFmtId="180" fontId="85" fillId="14" borderId="75" xfId="0" applyNumberFormat="1" applyFont="1" applyFill="1" applyBorder="1" applyAlignment="1">
      <alignment horizontal="left"/>
    </xf>
    <xf numFmtId="44" fontId="85" fillId="14" borderId="24" xfId="0" applyNumberFormat="1" applyFont="1" applyFill="1" applyBorder="1" applyAlignment="1">
      <alignment horizontal="left"/>
    </xf>
    <xf numFmtId="44" fontId="85" fillId="14" borderId="49" xfId="0" applyNumberFormat="1" applyFont="1" applyFill="1" applyBorder="1" applyAlignment="1">
      <alignment horizontal="left"/>
    </xf>
    <xf numFmtId="44" fontId="85" fillId="14" borderId="53" xfId="0" applyNumberFormat="1" applyFont="1" applyFill="1" applyBorder="1" applyAlignment="1">
      <alignment horizontal="left"/>
    </xf>
    <xf numFmtId="0" fontId="61" fillId="5" borderId="9" xfId="1" applyFill="1" applyBorder="1" applyAlignment="1" applyProtection="1">
      <alignment horizontal="center" wrapText="1"/>
    </xf>
    <xf numFmtId="0" fontId="61" fillId="0" borderId="10" xfId="1" applyBorder="1" applyAlignment="1" applyProtection="1"/>
    <xf numFmtId="0" fontId="61" fillId="0" borderId="11" xfId="1" applyBorder="1" applyAlignment="1" applyProtection="1"/>
    <xf numFmtId="165" fontId="37" fillId="0" borderId="20" xfId="0" applyNumberFormat="1" applyFont="1" applyBorder="1" applyAlignment="1" applyProtection="1">
      <alignment horizontal="center" vertical="center"/>
      <protection hidden="1"/>
    </xf>
    <xf numFmtId="165" fontId="37" fillId="0" borderId="76" xfId="0" applyNumberFormat="1" applyFont="1" applyBorder="1" applyAlignment="1" applyProtection="1">
      <alignment horizontal="center" vertical="center"/>
      <protection hidden="1"/>
    </xf>
    <xf numFmtId="164" fontId="50" fillId="25" borderId="9" xfId="0" applyNumberFormat="1" applyFont="1" applyFill="1" applyBorder="1" applyAlignment="1" applyProtection="1">
      <alignment horizontal="center"/>
      <protection hidden="1"/>
    </xf>
    <xf numFmtId="164" fontId="50" fillId="25" borderId="10" xfId="0" applyNumberFormat="1" applyFont="1" applyFill="1" applyBorder="1" applyAlignment="1" applyProtection="1">
      <alignment horizontal="center"/>
      <protection hidden="1"/>
    </xf>
    <xf numFmtId="164" fontId="50" fillId="25" borderId="11" xfId="0" applyNumberFormat="1" applyFont="1" applyFill="1" applyBorder="1" applyAlignment="1" applyProtection="1">
      <alignment horizontal="center"/>
      <protection hidden="1"/>
    </xf>
    <xf numFmtId="4" fontId="53" fillId="14" borderId="37" xfId="0" applyNumberFormat="1" applyFont="1" applyFill="1" applyBorder="1" applyAlignment="1" applyProtection="1">
      <alignment horizontal="left" vertical="top"/>
      <protection hidden="1"/>
    </xf>
    <xf numFmtId="4" fontId="53" fillId="14" borderId="39" xfId="0" applyNumberFormat="1" applyFont="1" applyFill="1" applyBorder="1" applyAlignment="1" applyProtection="1">
      <alignment horizontal="left" vertical="top"/>
      <protection hidden="1"/>
    </xf>
    <xf numFmtId="164" fontId="50" fillId="6" borderId="10" xfId="0" applyNumberFormat="1" applyFont="1" applyFill="1" applyBorder="1" applyAlignment="1" applyProtection="1">
      <alignment horizontal="center"/>
      <protection hidden="1"/>
    </xf>
    <xf numFmtId="0" fontId="74" fillId="6" borderId="20" xfId="0" applyFont="1" applyFill="1" applyBorder="1" applyAlignment="1" applyProtection="1">
      <alignment horizontal="center" vertical="center" wrapText="1"/>
      <protection hidden="1"/>
    </xf>
    <xf numFmtId="0" fontId="74" fillId="6" borderId="21" xfId="0" applyFont="1" applyFill="1" applyBorder="1" applyAlignment="1" applyProtection="1">
      <alignment horizontal="center" vertical="center" wrapText="1"/>
      <protection hidden="1"/>
    </xf>
    <xf numFmtId="0" fontId="76" fillId="2" borderId="1" xfId="0" applyFont="1" applyFill="1" applyBorder="1" applyAlignment="1">
      <alignment horizontal="center"/>
    </xf>
    <xf numFmtId="0" fontId="76" fillId="2" borderId="2" xfId="0" applyFont="1" applyFill="1" applyBorder="1" applyAlignment="1">
      <alignment horizontal="center"/>
    </xf>
    <xf numFmtId="0" fontId="77" fillId="0" borderId="3" xfId="0" applyFont="1" applyBorder="1" applyAlignment="1">
      <alignment horizontal="center"/>
    </xf>
    <xf numFmtId="0" fontId="77" fillId="2" borderId="4" xfId="0" applyFont="1" applyFill="1" applyBorder="1" applyAlignment="1">
      <alignment horizontal="center" vertical="center"/>
    </xf>
    <xf numFmtId="0" fontId="77" fillId="2" borderId="0" xfId="0" applyFont="1" applyFill="1" applyAlignment="1">
      <alignment horizontal="center" vertical="center"/>
    </xf>
    <xf numFmtId="0" fontId="77" fillId="0" borderId="5" xfId="0" applyFont="1" applyBorder="1" applyAlignment="1">
      <alignment horizontal="center" vertical="center"/>
    </xf>
    <xf numFmtId="0" fontId="76" fillId="2" borderId="4" xfId="0" applyFont="1" applyFill="1" applyBorder="1" applyAlignment="1">
      <alignment horizontal="center"/>
    </xf>
    <xf numFmtId="0" fontId="76" fillId="2" borderId="0" xfId="0" applyFont="1" applyFill="1" applyAlignment="1">
      <alignment horizontal="center"/>
    </xf>
    <xf numFmtId="0" fontId="77" fillId="0" borderId="5" xfId="0" applyFont="1" applyBorder="1" applyAlignment="1">
      <alignment horizontal="center"/>
    </xf>
    <xf numFmtId="0" fontId="71" fillId="0" borderId="0" xfId="0" applyFont="1" applyAlignment="1">
      <alignment horizontal="center"/>
    </xf>
    <xf numFmtId="0" fontId="71" fillId="0" borderId="28" xfId="0" applyFont="1" applyBorder="1" applyAlignment="1">
      <alignment horizontal="center"/>
    </xf>
    <xf numFmtId="0" fontId="71" fillId="0" borderId="29" xfId="0" applyFont="1" applyBorder="1" applyAlignment="1">
      <alignment horizontal="center"/>
    </xf>
    <xf numFmtId="0" fontId="72" fillId="0" borderId="0" xfId="0" applyFont="1" applyAlignment="1">
      <alignment horizontal="center" wrapText="1"/>
    </xf>
    <xf numFmtId="0" fontId="59" fillId="0" borderId="0" xfId="0" applyFont="1" applyAlignment="1">
      <alignment horizontal="left" vertical="top"/>
    </xf>
    <xf numFmtId="0" fontId="59" fillId="0" borderId="0" xfId="0" applyFont="1" applyAlignment="1">
      <alignment horizontal="left"/>
    </xf>
    <xf numFmtId="0" fontId="0" fillId="9" borderId="0" xfId="0" applyFill="1" applyAlignment="1" applyProtection="1">
      <alignment horizontal="center" vertical="top" wrapText="1"/>
      <protection locked="0"/>
    </xf>
    <xf numFmtId="0" fontId="48" fillId="9" borderId="0" xfId="0" applyFont="1" applyFill="1" applyAlignment="1" applyProtection="1">
      <alignment horizontal="center" vertical="top" wrapText="1"/>
      <protection locked="0"/>
    </xf>
    <xf numFmtId="0" fontId="48" fillId="6" borderId="0" xfId="0" applyFont="1" applyFill="1" applyAlignment="1">
      <alignment horizontal="center"/>
    </xf>
    <xf numFmtId="0" fontId="59" fillId="0" borderId="2" xfId="0" applyFont="1" applyBorder="1" applyAlignment="1">
      <alignment horizontal="center"/>
    </xf>
    <xf numFmtId="0" fontId="59" fillId="0" borderId="7" xfId="0" applyFont="1" applyBorder="1" applyAlignment="1">
      <alignment horizontal="center"/>
    </xf>
    <xf numFmtId="0" fontId="48" fillId="9" borderId="7" xfId="0" applyFont="1" applyFill="1" applyBorder="1" applyProtection="1">
      <protection locked="0"/>
    </xf>
    <xf numFmtId="0" fontId="50" fillId="2" borderId="1" xfId="0" applyFont="1" applyFill="1" applyBorder="1" applyAlignment="1" applyProtection="1">
      <alignment horizontal="center" vertical="center" wrapText="1"/>
      <protection hidden="1"/>
    </xf>
    <xf numFmtId="0" fontId="50" fillId="2" borderId="2" xfId="0" applyFont="1" applyFill="1" applyBorder="1" applyAlignment="1" applyProtection="1">
      <alignment horizontal="center" vertical="center" wrapText="1"/>
      <protection hidden="1"/>
    </xf>
    <xf numFmtId="0" fontId="50" fillId="2" borderId="3" xfId="0" applyFont="1" applyFill="1" applyBorder="1" applyAlignment="1" applyProtection="1">
      <alignment horizontal="center" vertical="center" wrapText="1"/>
      <protection hidden="1"/>
    </xf>
    <xf numFmtId="0" fontId="51" fillId="0" borderId="0" xfId="0" applyFont="1" applyAlignment="1" applyProtection="1">
      <alignment horizontal="left" vertical="top" wrapText="1"/>
      <protection hidden="1"/>
    </xf>
    <xf numFmtId="191" fontId="40" fillId="7" borderId="0" xfId="0" applyNumberFormat="1" applyFont="1" applyFill="1" applyAlignment="1" applyProtection="1">
      <alignment horizontal="left"/>
      <protection hidden="1"/>
    </xf>
    <xf numFmtId="0" fontId="50" fillId="2" borderId="4" xfId="0" applyFont="1" applyFill="1" applyBorder="1" applyAlignment="1" applyProtection="1">
      <alignment horizontal="center" vertical="center" wrapText="1"/>
      <protection hidden="1"/>
    </xf>
    <xf numFmtId="0" fontId="50" fillId="2" borderId="0" xfId="0" applyFont="1" applyFill="1" applyAlignment="1" applyProtection="1">
      <alignment horizontal="center" vertical="center" wrapText="1"/>
      <protection hidden="1"/>
    </xf>
    <xf numFmtId="0" fontId="53" fillId="2" borderId="0" xfId="0" applyFont="1" applyFill="1" applyAlignment="1" applyProtection="1">
      <alignment horizontal="left"/>
      <protection hidden="1"/>
    </xf>
    <xf numFmtId="0" fontId="40" fillId="7" borderId="0" xfId="0" applyFont="1" applyFill="1" applyAlignment="1" applyProtection="1">
      <alignment horizontal="left"/>
      <protection hidden="1"/>
    </xf>
    <xf numFmtId="0" fontId="18" fillId="0" borderId="0" xfId="0" applyFont="1" applyAlignment="1" applyProtection="1">
      <alignment horizontal="left" vertical="center" wrapText="1"/>
      <protection hidden="1"/>
    </xf>
    <xf numFmtId="0" fontId="16" fillId="6" borderId="0" xfId="0" applyFont="1" applyFill="1" applyAlignment="1" applyProtection="1">
      <alignment horizontal="center"/>
      <protection hidden="1"/>
    </xf>
    <xf numFmtId="0" fontId="19" fillId="6" borderId="0" xfId="0" applyFont="1" applyFill="1" applyAlignment="1" applyProtection="1">
      <alignment horizontal="center"/>
      <protection hidden="1"/>
    </xf>
    <xf numFmtId="0" fontId="16" fillId="6" borderId="12" xfId="0" applyFont="1" applyFill="1" applyBorder="1" applyAlignment="1" applyProtection="1">
      <alignment horizontal="left"/>
      <protection hidden="1"/>
    </xf>
    <xf numFmtId="0" fontId="19" fillId="6" borderId="13" xfId="0" applyFont="1" applyFill="1" applyBorder="1" applyAlignment="1" applyProtection="1">
      <alignment horizontal="left"/>
      <protection hidden="1"/>
    </xf>
    <xf numFmtId="0" fontId="53" fillId="7" borderId="12" xfId="0" applyFont="1" applyFill="1" applyBorder="1" applyAlignment="1">
      <alignment horizontal="center" vertical="top"/>
    </xf>
    <xf numFmtId="0" fontId="50" fillId="0" borderId="18" xfId="0" applyFont="1" applyBorder="1" applyAlignment="1">
      <alignment horizontal="center" vertical="top"/>
    </xf>
    <xf numFmtId="0" fontId="50" fillId="0" borderId="13" xfId="0" applyFont="1" applyBorder="1" applyAlignment="1">
      <alignment horizontal="center" vertical="top"/>
    </xf>
    <xf numFmtId="0" fontId="51" fillId="2" borderId="1" xfId="0" applyFont="1" applyFill="1" applyBorder="1" applyAlignment="1" applyProtection="1">
      <alignment horizontal="center"/>
      <protection hidden="1"/>
    </xf>
    <xf numFmtId="0" fontId="51" fillId="2" borderId="2" xfId="0" applyFont="1" applyFill="1" applyBorder="1" applyAlignment="1" applyProtection="1">
      <alignment horizontal="center"/>
      <protection hidden="1"/>
    </xf>
    <xf numFmtId="0" fontId="0" fillId="0" borderId="2" xfId="0" applyBorder="1" applyProtection="1">
      <protection hidden="1"/>
    </xf>
    <xf numFmtId="0" fontId="0" fillId="0" borderId="2" xfId="0" applyBorder="1"/>
    <xf numFmtId="0" fontId="0" fillId="0" borderId="3" xfId="0" applyBorder="1"/>
    <xf numFmtId="0" fontId="0" fillId="0" borderId="0" xfId="0" applyProtection="1">
      <protection hidden="1"/>
    </xf>
    <xf numFmtId="0" fontId="0" fillId="0" borderId="5" xfId="0" applyBorder="1"/>
    <xf numFmtId="0" fontId="52" fillId="2" borderId="4" xfId="0" applyFont="1" applyFill="1" applyBorder="1" applyAlignment="1" applyProtection="1">
      <alignment horizontal="center"/>
      <protection hidden="1"/>
    </xf>
    <xf numFmtId="0" fontId="52" fillId="2" borderId="0" xfId="0" applyFont="1" applyFill="1" applyAlignment="1" applyProtection="1">
      <alignment horizontal="center"/>
      <protection hidden="1"/>
    </xf>
    <xf numFmtId="0" fontId="12" fillId="0" borderId="8" xfId="0" applyFont="1" applyBorder="1" applyAlignment="1">
      <alignment horizontal="center" vertical="top"/>
    </xf>
    <xf numFmtId="0" fontId="12" fillId="0" borderId="21" xfId="0" applyFont="1" applyBorder="1" applyAlignment="1">
      <alignment horizontal="center" vertical="top"/>
    </xf>
    <xf numFmtId="0" fontId="12" fillId="0" borderId="6" xfId="0" applyFont="1" applyBorder="1" applyAlignment="1">
      <alignment horizontal="center" vertical="top"/>
    </xf>
    <xf numFmtId="0" fontId="51" fillId="2" borderId="1" xfId="0" applyFont="1" applyFill="1" applyBorder="1" applyAlignment="1">
      <alignment horizontal="center" wrapText="1"/>
    </xf>
    <xf numFmtId="0" fontId="51" fillId="2" borderId="2" xfId="0" applyFont="1" applyFill="1" applyBorder="1" applyAlignment="1">
      <alignment horizontal="center"/>
    </xf>
    <xf numFmtId="0" fontId="51" fillId="2" borderId="3" xfId="0" applyFont="1" applyFill="1" applyBorder="1" applyAlignment="1">
      <alignment horizontal="center"/>
    </xf>
    <xf numFmtId="0" fontId="51" fillId="2" borderId="4" xfId="0" applyFont="1" applyFill="1" applyBorder="1" applyAlignment="1">
      <alignment horizontal="center"/>
    </xf>
    <xf numFmtId="0" fontId="51" fillId="2" borderId="0" xfId="0" applyFont="1" applyFill="1" applyAlignment="1">
      <alignment horizontal="center"/>
    </xf>
    <xf numFmtId="0" fontId="51" fillId="2" borderId="5" xfId="0" applyFont="1" applyFill="1" applyBorder="1" applyAlignment="1">
      <alignment horizontal="center"/>
    </xf>
    <xf numFmtId="0" fontId="51" fillId="2" borderId="6" xfId="0" applyFont="1" applyFill="1" applyBorder="1" applyAlignment="1">
      <alignment horizontal="center"/>
    </xf>
    <xf numFmtId="0" fontId="51" fillId="2" borderId="7" xfId="0" applyFont="1" applyFill="1" applyBorder="1" applyAlignment="1">
      <alignment horizontal="center"/>
    </xf>
    <xf numFmtId="0" fontId="51" fillId="2" borderId="8" xfId="0" applyFont="1" applyFill="1" applyBorder="1" applyAlignment="1">
      <alignment horizontal="center"/>
    </xf>
    <xf numFmtId="0" fontId="48" fillId="6" borderId="4" xfId="0" applyFont="1" applyFill="1" applyBorder="1"/>
  </cellXfs>
  <cellStyles count="20">
    <cellStyle name="40% - Akzent1 2" xfId="6" xr:uid="{00000000-0005-0000-0000-000000000000}"/>
    <cellStyle name="40% - Akzent3 2" xfId="7" xr:uid="{00000000-0005-0000-0000-000001000000}"/>
    <cellStyle name="Datum" xfId="8" xr:uid="{00000000-0005-0000-0000-000002000000}"/>
    <cellStyle name="Eingabe 2" xfId="4" xr:uid="{00000000-0005-0000-0000-000003000000}"/>
    <cellStyle name="Eingabe 2 2" xfId="9" xr:uid="{00000000-0005-0000-0000-000004000000}"/>
    <cellStyle name="Eingabe 3" xfId="10" xr:uid="{00000000-0005-0000-0000-000005000000}"/>
    <cellStyle name="Formelfeld" xfId="11" xr:uid="{00000000-0005-0000-0000-000006000000}"/>
    <cellStyle name="Formular" xfId="12" xr:uid="{00000000-0005-0000-0000-000007000000}"/>
    <cellStyle name="Komma 2" xfId="17" xr:uid="{00000000-0005-0000-0000-000008000000}"/>
    <cellStyle name="Link" xfId="1" builtinId="8"/>
    <cellStyle name="Prozent" xfId="3" builtinId="5"/>
    <cellStyle name="Prozent 2" xfId="5" xr:uid="{00000000-0005-0000-0000-00000B000000}"/>
    <cellStyle name="Standard" xfId="0" builtinId="0"/>
    <cellStyle name="Standard 2" xfId="13" xr:uid="{00000000-0005-0000-0000-00000D000000}"/>
    <cellStyle name="Standard 4" xfId="18" xr:uid="{00000000-0005-0000-0000-00000E000000}"/>
    <cellStyle name="Standard_Tabelle1" xfId="19" xr:uid="{806DA1E1-EC7C-4EB1-BC5E-7FCE513668AB}"/>
    <cellStyle name="Stunden" xfId="14" xr:uid="{00000000-0005-0000-0000-00000F000000}"/>
    <cellStyle name="Text" xfId="15" xr:uid="{00000000-0005-0000-0000-000010000000}"/>
    <cellStyle name="VZK" xfId="16" xr:uid="{00000000-0005-0000-0000-000011000000}"/>
    <cellStyle name="Währung" xfId="2" builtinId="4"/>
  </cellStyles>
  <dxfs count="30">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ill>
        <patternFill patternType="none">
          <bgColor auto="1"/>
        </patternFill>
      </fill>
    </dxf>
    <dxf>
      <font>
        <color theme="0"/>
      </font>
      <fill>
        <patternFill patternType="none">
          <bgColor auto="1"/>
        </patternFill>
      </fill>
      <border>
        <left/>
        <right/>
        <top/>
        <bottom/>
        <vertical/>
        <horizontal/>
      </border>
    </dxf>
    <dxf>
      <font>
        <color theme="0"/>
      </font>
      <fill>
        <patternFill>
          <bgColor theme="0"/>
        </patternFill>
      </fill>
      <border>
        <left/>
        <right/>
        <top/>
        <bottom/>
        <vertical/>
        <horizontal/>
      </border>
    </dxf>
    <dxf>
      <font>
        <color theme="0" tint="-4.9989318521683403E-2"/>
      </font>
      <fill>
        <patternFill>
          <bgColor theme="0" tint="-0.14996795556505021"/>
        </patternFill>
      </fill>
    </dxf>
    <dxf>
      <font>
        <color theme="0"/>
      </font>
      <fill>
        <patternFill patternType="none">
          <bgColor auto="1"/>
        </patternFill>
      </fill>
      <border>
        <left/>
        <right/>
        <top/>
        <bottom/>
        <vertical/>
        <horizontal/>
      </border>
    </dxf>
    <dxf>
      <font>
        <color theme="0" tint="-0.14996795556505021"/>
      </font>
    </dxf>
    <dxf>
      <fill>
        <patternFill>
          <bgColor theme="0"/>
        </patternFill>
      </fill>
    </dxf>
    <dxf>
      <font>
        <color theme="0" tint="-0.24994659260841701"/>
      </font>
    </dxf>
    <dxf>
      <font>
        <color theme="0" tint="-0.14996795556505021"/>
      </font>
      <fill>
        <patternFill>
          <bgColor theme="0"/>
        </patternFill>
      </fill>
      <border>
        <left/>
        <right/>
        <top/>
        <bottom/>
        <vertical/>
        <horizontal/>
      </border>
    </dxf>
    <dxf>
      <fill>
        <patternFill patternType="none">
          <bgColor auto="1"/>
        </patternFill>
      </fill>
    </dxf>
    <dxf>
      <font>
        <color rgb="FFFF0000"/>
      </font>
    </dxf>
    <dxf>
      <font>
        <color theme="0"/>
      </font>
      <fill>
        <patternFill>
          <fgColor theme="0"/>
          <bgColor theme="0"/>
        </patternFill>
      </fill>
      <border>
        <left/>
        <right/>
        <top/>
        <bottom/>
      </border>
    </dxf>
    <dxf>
      <font>
        <color theme="0"/>
      </font>
      <fill>
        <patternFill>
          <fgColor theme="0"/>
          <bgColor theme="0"/>
        </patternFill>
      </fill>
      <border>
        <left/>
        <right/>
        <top/>
        <bottom/>
      </border>
    </dxf>
    <dxf>
      <font>
        <color theme="0"/>
      </font>
    </dxf>
    <dxf>
      <fill>
        <patternFill patternType="none">
          <bgColor auto="1"/>
        </patternFill>
      </fill>
    </dxf>
    <dxf>
      <font>
        <color theme="0"/>
      </font>
      <fill>
        <patternFill>
          <fgColor theme="0"/>
        </patternFill>
      </fill>
      <border>
        <vertical/>
        <horizontal/>
      </border>
    </dxf>
    <dxf>
      <font>
        <color theme="0"/>
      </font>
      <fill>
        <patternFill>
          <bgColor theme="0"/>
        </patternFill>
      </fill>
      <border>
        <left/>
        <right/>
        <bottom/>
      </border>
    </dxf>
    <dxf>
      <fill>
        <patternFill>
          <bgColor theme="0" tint="-4.9989318521683403E-2"/>
        </patternFill>
      </fill>
    </dxf>
    <dxf>
      <font>
        <color theme="7" tint="0.79998168889431442"/>
      </font>
      <fill>
        <patternFill>
          <bgColor theme="7" tint="0.79998168889431442"/>
        </patternFill>
      </fill>
    </dxf>
    <dxf>
      <fill>
        <patternFill>
          <bgColor theme="0" tint="-4.9989318521683403E-2"/>
        </patternFill>
      </fill>
    </dxf>
    <dxf>
      <font>
        <color rgb="FFFF0000"/>
      </font>
    </dxf>
    <dxf>
      <fill>
        <patternFill>
          <bgColor theme="0"/>
        </patternFill>
      </fill>
    </dxf>
  </dxfs>
  <tableStyles count="0" defaultTableStyle="TableStyleMedium2" defaultPivotStyle="PivotStyleLight16"/>
  <colors>
    <mruColors>
      <color rgb="FFDEC8EE"/>
      <color rgb="FFFBF7A7"/>
      <color rgb="FF99CCFF"/>
      <color rgb="FFCCECFF"/>
      <color rgb="FFFF33CC"/>
      <color rgb="FFFFFFCC"/>
      <color rgb="FFFFF4CA"/>
      <color rgb="FFFBFD95"/>
      <color rgb="FFFFFF99"/>
      <color rgb="FFE7FBA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3</xdr:col>
      <xdr:colOff>142874</xdr:colOff>
      <xdr:row>46</xdr:row>
      <xdr:rowOff>9524</xdr:rowOff>
    </xdr:from>
    <xdr:to>
      <xdr:col>4</xdr:col>
      <xdr:colOff>38099</xdr:colOff>
      <xdr:row>47</xdr:row>
      <xdr:rowOff>123824</xdr:rowOff>
    </xdr:to>
    <xdr:sp macro="" textlink="">
      <xdr:nvSpPr>
        <xdr:cNvPr id="18" name="Textfeld 17">
          <a:extLst>
            <a:ext uri="{FF2B5EF4-FFF2-40B4-BE49-F238E27FC236}">
              <a16:creationId xmlns:a16="http://schemas.microsoft.com/office/drawing/2014/main" id="{1A39A869-7335-4709-A17E-53D3DEBCE52D}"/>
            </a:ext>
          </a:extLst>
        </xdr:cNvPr>
        <xdr:cNvSpPr txBox="1"/>
      </xdr:nvSpPr>
      <xdr:spPr>
        <a:xfrm>
          <a:off x="2647949" y="65703449"/>
          <a:ext cx="733425" cy="29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828675</xdr:colOff>
          <xdr:row>41</xdr:row>
          <xdr:rowOff>38100</xdr:rowOff>
        </xdr:from>
        <xdr:to>
          <xdr:col>9</xdr:col>
          <xdr:colOff>66675</xdr:colOff>
          <xdr:row>44</xdr:row>
          <xdr:rowOff>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4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AOKPLUS">
  <a:themeElements>
    <a:clrScheme name="AOK PLUS">
      <a:dk1>
        <a:sysClr val="windowText" lastClr="000000"/>
      </a:dk1>
      <a:lt1>
        <a:sysClr val="window" lastClr="FFFFFF"/>
      </a:lt1>
      <a:dk2>
        <a:srgbClr val="029646"/>
      </a:dk2>
      <a:lt2>
        <a:srgbClr val="EEECE1"/>
      </a:lt2>
      <a:accent1>
        <a:srgbClr val="CFE8B5"/>
      </a:accent1>
      <a:accent2>
        <a:srgbClr val="FDCA00"/>
      </a:accent2>
      <a:accent3>
        <a:srgbClr val="66BA06"/>
      </a:accent3>
      <a:accent4>
        <a:srgbClr val="EC540B"/>
      </a:accent4>
      <a:accent5>
        <a:srgbClr val="A0C013"/>
      </a:accent5>
      <a:accent6>
        <a:srgbClr val="B0B0B0"/>
      </a:accent6>
      <a:hlink>
        <a:srgbClr val="0000FF"/>
      </a:hlink>
      <a:folHlink>
        <a:srgbClr val="800080"/>
      </a:folHlink>
    </a:clrScheme>
    <a:fontScheme name="Executive">
      <a:majorFont>
        <a:latin typeface="Century Gothic"/>
        <a:ea typeface=""/>
        <a:cs typeface=""/>
        <a:font script="Jpan" typeface="HGｺﾞｼｯｸM"/>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Palatino Linotype"/>
        <a:ea typeface=""/>
        <a:cs typeface=""/>
        <a:font script="Jpan" typeface="HGS明朝E"/>
        <a:font script="Hang" typeface="맑은 고딕"/>
        <a:font script="Hans" typeface="宋体"/>
        <a:font script="Hant" typeface="新細明體"/>
        <a:font script="Arab" typeface="Times New Roman"/>
        <a:font script="Hebr" typeface="Times New Roman"/>
        <a:font script="Thai" typeface="Browalli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8" Type="http://schemas.openxmlformats.org/officeDocument/2006/relationships/hyperlink" Target="mailto:Pflege-SN@bkkmitte.de" TargetMode="External"/><Relationship Id="rId3" Type="http://schemas.openxmlformats.org/officeDocument/2006/relationships/hyperlink" Target="mailto:pflegesatzverhandlungen_sachsen@plus.aok.de" TargetMode="External"/><Relationship Id="rId7" Type="http://schemas.openxmlformats.org/officeDocument/2006/relationships/hyperlink" Target="mailto:vertrag.chemnitz@kbs.de" TargetMode="External"/><Relationship Id="rId2" Type="http://schemas.openxmlformats.org/officeDocument/2006/relationships/hyperlink" Target="mailto:vereinbarungen-pflege@ksv-sachsen.de" TargetMode="External"/><Relationship Id="rId1" Type="http://schemas.openxmlformats.org/officeDocument/2006/relationships/printerSettings" Target="../printerSettings/printerSettings5.bin"/><Relationship Id="rId6" Type="http://schemas.openxmlformats.org/officeDocument/2006/relationships/hyperlink" Target="mailto:pflegeverhandlungen-sachsen@ikk-classic.de" TargetMode="External"/><Relationship Id="rId5" Type="http://schemas.openxmlformats.org/officeDocument/2006/relationships/hyperlink" Target="mailto:pflegesatzverhandlungen_sachsen@barmer.de" TargetMode="External"/><Relationship Id="rId4" Type="http://schemas.openxmlformats.org/officeDocument/2006/relationships/hyperlink" Target="mailto:verguetung-pflege.sac@vdek.com" TargetMode="External"/><Relationship Id="rId9" Type="http://schemas.openxmlformats.org/officeDocument/2006/relationships/hyperlink" Target="mailto:pflege@pkv.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E24"/>
  <sheetViews>
    <sheetView showGridLines="0" zoomScaleNormal="100" workbookViewId="0">
      <pane ySplit="5" topLeftCell="A10" activePane="bottomLeft" state="frozen"/>
      <selection pane="bottomLeft" activeCell="B24" sqref="B24"/>
    </sheetView>
  </sheetViews>
  <sheetFormatPr baseColWidth="10" defaultRowHeight="14.25" x14ac:dyDescent="0.2"/>
  <cols>
    <col min="1" max="1" width="10.625" style="346" customWidth="1"/>
    <col min="2" max="2" width="28.125" customWidth="1"/>
    <col min="3" max="3" width="30" customWidth="1"/>
    <col min="4" max="4" width="42.75" customWidth="1"/>
    <col min="5" max="5" width="31.25" style="351" customWidth="1"/>
  </cols>
  <sheetData>
    <row r="1" spans="1:5" x14ac:dyDescent="0.2">
      <c r="A1" s="341"/>
      <c r="B1" s="341"/>
      <c r="C1" s="341"/>
      <c r="D1" s="341"/>
      <c r="E1" s="341"/>
    </row>
    <row r="2" spans="1:5" ht="23.25" customHeight="1" x14ac:dyDescent="0.2">
      <c r="A2" s="1080" t="s">
        <v>350</v>
      </c>
      <c r="B2" s="1081"/>
      <c r="C2" s="1081"/>
      <c r="D2" s="1081"/>
      <c r="E2" s="1081"/>
    </row>
    <row r="3" spans="1:5" x14ac:dyDescent="0.2">
      <c r="A3" s="341"/>
      <c r="B3" s="341"/>
      <c r="C3" s="341"/>
      <c r="D3" s="341"/>
      <c r="E3" s="341"/>
    </row>
    <row r="5" spans="1:5" ht="25.5" x14ac:dyDescent="0.2">
      <c r="A5" s="342" t="s">
        <v>284</v>
      </c>
      <c r="B5" s="342" t="s">
        <v>285</v>
      </c>
      <c r="C5" s="342" t="s">
        <v>286</v>
      </c>
      <c r="D5" s="342" t="s">
        <v>287</v>
      </c>
      <c r="E5" s="342" t="s">
        <v>288</v>
      </c>
    </row>
    <row r="6" spans="1:5" ht="25.5" x14ac:dyDescent="0.2">
      <c r="A6" s="822">
        <v>46297</v>
      </c>
      <c r="B6" s="344" t="s">
        <v>329</v>
      </c>
      <c r="C6" s="344"/>
      <c r="D6" s="344" t="s">
        <v>443</v>
      </c>
      <c r="E6" s="344"/>
    </row>
    <row r="7" spans="1:5" s="343" customFormat="1" ht="76.5" x14ac:dyDescent="0.2">
      <c r="A7" s="824" t="s">
        <v>475</v>
      </c>
      <c r="B7" s="821" t="s">
        <v>474</v>
      </c>
      <c r="C7" s="826" t="s">
        <v>476</v>
      </c>
      <c r="D7" s="825" t="s">
        <v>477</v>
      </c>
      <c r="E7" s="823"/>
    </row>
    <row r="8" spans="1:5" s="343" customFormat="1" ht="25.5" x14ac:dyDescent="0.2">
      <c r="A8" s="827">
        <v>46304</v>
      </c>
      <c r="B8" s="828" t="s">
        <v>478</v>
      </c>
      <c r="C8" s="829" t="s">
        <v>494</v>
      </c>
      <c r="D8" s="830" t="s">
        <v>479</v>
      </c>
      <c r="E8" s="831"/>
    </row>
    <row r="9" spans="1:5" s="343" customFormat="1" ht="25.5" x14ac:dyDescent="0.2">
      <c r="A9" s="832"/>
      <c r="B9" s="287"/>
      <c r="C9" s="833" t="s">
        <v>480</v>
      </c>
      <c r="D9" s="834" t="s">
        <v>481</v>
      </c>
      <c r="E9" s="835"/>
    </row>
    <row r="10" spans="1:5" s="343" customFormat="1" ht="38.25" x14ac:dyDescent="0.2">
      <c r="A10" s="832"/>
      <c r="B10" s="836" t="s">
        <v>486</v>
      </c>
      <c r="C10" s="837" t="s">
        <v>491</v>
      </c>
      <c r="D10" s="838" t="s">
        <v>492</v>
      </c>
      <c r="E10" s="835"/>
    </row>
    <row r="11" spans="1:5" x14ac:dyDescent="0.2">
      <c r="A11" s="832"/>
      <c r="B11" s="836"/>
      <c r="C11" s="837" t="s">
        <v>495</v>
      </c>
      <c r="D11" s="838" t="s">
        <v>482</v>
      </c>
      <c r="E11" s="835"/>
    </row>
    <row r="12" spans="1:5" x14ac:dyDescent="0.2">
      <c r="A12" s="832"/>
      <c r="B12" s="927" t="s">
        <v>474</v>
      </c>
      <c r="C12" s="837" t="s">
        <v>498</v>
      </c>
      <c r="D12" s="838" t="s">
        <v>483</v>
      </c>
      <c r="E12" s="835"/>
    </row>
    <row r="13" spans="1:5" ht="25.5" x14ac:dyDescent="0.2">
      <c r="A13" s="832"/>
      <c r="B13" s="836"/>
      <c r="C13" s="837" t="s">
        <v>484</v>
      </c>
      <c r="D13" s="838" t="s">
        <v>485</v>
      </c>
      <c r="E13" s="835"/>
    </row>
    <row r="14" spans="1:5" ht="38.25" x14ac:dyDescent="0.2">
      <c r="A14" s="832"/>
      <c r="B14" s="836"/>
      <c r="C14" s="837" t="s">
        <v>499</v>
      </c>
      <c r="D14" s="838" t="s">
        <v>500</v>
      </c>
      <c r="E14" s="835"/>
    </row>
    <row r="15" spans="1:5" x14ac:dyDescent="0.2">
      <c r="A15" s="839"/>
      <c r="B15" s="840" t="s">
        <v>496</v>
      </c>
      <c r="C15" s="841"/>
      <c r="D15" s="840" t="s">
        <v>497</v>
      </c>
      <c r="E15" s="842"/>
    </row>
    <row r="16" spans="1:5" ht="25.5" x14ac:dyDescent="0.2">
      <c r="A16" s="931">
        <v>46307</v>
      </c>
      <c r="B16" s="930" t="s">
        <v>474</v>
      </c>
      <c r="C16" s="932" t="s">
        <v>502</v>
      </c>
      <c r="D16" s="933" t="s">
        <v>501</v>
      </c>
      <c r="E16" s="934"/>
    </row>
    <row r="17" spans="1:5" ht="38.25" x14ac:dyDescent="0.2">
      <c r="A17" s="947">
        <v>46311</v>
      </c>
      <c r="B17" s="828" t="s">
        <v>486</v>
      </c>
      <c r="C17" s="935" t="s">
        <v>510</v>
      </c>
      <c r="D17" s="944" t="s">
        <v>517</v>
      </c>
      <c r="E17" s="936"/>
    </row>
    <row r="18" spans="1:5" ht="25.5" x14ac:dyDescent="0.2">
      <c r="A18" s="937"/>
      <c r="B18" s="942" t="s">
        <v>474</v>
      </c>
      <c r="C18" s="929" t="s">
        <v>514</v>
      </c>
      <c r="D18" s="945" t="s">
        <v>511</v>
      </c>
      <c r="E18" s="938"/>
    </row>
    <row r="19" spans="1:5" x14ac:dyDescent="0.2">
      <c r="A19" s="937"/>
      <c r="B19" s="942"/>
      <c r="C19" s="929" t="s">
        <v>512</v>
      </c>
      <c r="D19" s="945" t="s">
        <v>513</v>
      </c>
      <c r="E19" s="938"/>
    </row>
    <row r="20" spans="1:5" ht="25.5" x14ac:dyDescent="0.2">
      <c r="A20" s="939"/>
      <c r="B20" s="943" t="s">
        <v>515</v>
      </c>
      <c r="C20" s="940"/>
      <c r="D20" s="946" t="s">
        <v>516</v>
      </c>
      <c r="E20" s="941"/>
    </row>
    <row r="21" spans="1:5" x14ac:dyDescent="0.2">
      <c r="A21" s="1037">
        <v>46314</v>
      </c>
      <c r="B21" s="956" t="s">
        <v>562</v>
      </c>
      <c r="C21" s="956"/>
      <c r="D21" s="957" t="s">
        <v>563</v>
      </c>
      <c r="E21" s="344"/>
    </row>
    <row r="22" spans="1:5" ht="25.5" x14ac:dyDescent="0.2">
      <c r="A22" s="1038"/>
      <c r="B22" s="956" t="s">
        <v>564</v>
      </c>
      <c r="C22" s="956" t="s">
        <v>710</v>
      </c>
      <c r="D22" s="956"/>
      <c r="E22" s="1014"/>
    </row>
    <row r="23" spans="1:5" x14ac:dyDescent="0.2">
      <c r="A23" s="1038"/>
      <c r="B23" s="956" t="s">
        <v>711</v>
      </c>
      <c r="C23" s="956" t="s">
        <v>726</v>
      </c>
      <c r="D23" s="956" t="s">
        <v>712</v>
      </c>
      <c r="E23" s="1014"/>
    </row>
    <row r="24" spans="1:5" x14ac:dyDescent="0.2">
      <c r="A24" s="1039"/>
      <c r="B24" s="1036" t="s">
        <v>474</v>
      </c>
      <c r="C24" s="1036" t="s">
        <v>714</v>
      </c>
      <c r="D24" s="1036" t="s">
        <v>713</v>
      </c>
      <c r="E24" s="1052"/>
    </row>
  </sheetData>
  <sheetProtection algorithmName="SHA-512" hashValue="P7wzmW3QS/VnHnjbcBxLw9e4OnysNHg3GR5H1M/SmNDEOylog0EdXuXTkP1RbwKAMYYqMzaSiaTENG308DUZbw==" saltValue="FcdoGI2i8M1RJNim/aESeg==" spinCount="100000" sheet="1" objects="1" scenarios="1"/>
  <mergeCells count="1">
    <mergeCell ref="A2:E2"/>
  </mergeCells>
  <phoneticPr fontId="60" type="noConversion"/>
  <pageMargins left="0.70866141732283472" right="0.70866141732283472" top="0.78740157480314965" bottom="0.78740157480314965" header="0.31496062992125984" footer="0.31496062992125984"/>
  <pageSetup paperSize="9" scale="84" fitToHeight="10" orientation="landscape"/>
  <headerFooter>
    <oddHeader>&amp;C&amp;A</oddHeader>
    <oddFooter>&amp;LVersion 19.10.2026&amp;CVerhandlungsunterlagen SGB XI (vereinfacht B KZP)&amp;RPSK-Beschluss vom 08.10.2026</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6FA4E-FA6C-4D65-8A62-D8900722D98C}">
  <dimension ref="A1:NM22"/>
  <sheetViews>
    <sheetView workbookViewId="0">
      <selection activeCell="A10" sqref="A10"/>
    </sheetView>
  </sheetViews>
  <sheetFormatPr baseColWidth="10" defaultRowHeight="14.25" x14ac:dyDescent="0.2"/>
  <cols>
    <col min="53" max="53" width="21.625" customWidth="1"/>
    <col min="118" max="118" width="13" bestFit="1" customWidth="1"/>
    <col min="122" max="122" width="13.625" bestFit="1" customWidth="1"/>
    <col min="123" max="123" width="13.625" customWidth="1"/>
    <col min="124" max="126" width="11.625" bestFit="1" customWidth="1"/>
  </cols>
  <sheetData>
    <row r="1" spans="1:377" x14ac:dyDescent="0.2">
      <c r="A1" t="s">
        <v>382</v>
      </c>
    </row>
    <row r="4" spans="1:377" x14ac:dyDescent="0.2">
      <c r="A4" t="s">
        <v>383</v>
      </c>
    </row>
    <row r="7" spans="1:377" x14ac:dyDescent="0.2">
      <c r="A7" t="s">
        <v>384</v>
      </c>
    </row>
    <row r="8" spans="1:377" s="988" customFormat="1" ht="72" x14ac:dyDescent="0.2">
      <c r="A8" s="959" t="s">
        <v>565</v>
      </c>
      <c r="B8" s="960" t="s">
        <v>566</v>
      </c>
      <c r="C8" s="960" t="s">
        <v>567</v>
      </c>
      <c r="D8" s="961" t="s">
        <v>568</v>
      </c>
      <c r="E8" s="961" t="s">
        <v>569</v>
      </c>
      <c r="F8" s="962" t="s">
        <v>570</v>
      </c>
      <c r="G8" s="962" t="s">
        <v>571</v>
      </c>
      <c r="H8" s="963" t="s">
        <v>572</v>
      </c>
      <c r="I8" s="963" t="s">
        <v>573</v>
      </c>
      <c r="J8" s="963" t="s">
        <v>574</v>
      </c>
      <c r="K8" s="963" t="s">
        <v>575</v>
      </c>
      <c r="L8" s="963" t="s">
        <v>576</v>
      </c>
      <c r="M8" s="963" t="s">
        <v>577</v>
      </c>
      <c r="N8" s="963" t="s">
        <v>578</v>
      </c>
      <c r="O8" s="963" t="s">
        <v>579</v>
      </c>
      <c r="P8" s="963" t="s">
        <v>580</v>
      </c>
      <c r="Q8" s="963" t="s">
        <v>581</v>
      </c>
      <c r="R8" s="963" t="s">
        <v>582</v>
      </c>
      <c r="S8" s="963" t="s">
        <v>583</v>
      </c>
      <c r="T8" s="964" t="s">
        <v>584</v>
      </c>
      <c r="U8" s="964" t="s">
        <v>585</v>
      </c>
      <c r="V8" s="965" t="s">
        <v>586</v>
      </c>
      <c r="W8" s="966" t="s">
        <v>587</v>
      </c>
      <c r="X8" s="967" t="s">
        <v>588</v>
      </c>
      <c r="Y8" s="967" t="s">
        <v>589</v>
      </c>
      <c r="Z8" s="967" t="s">
        <v>590</v>
      </c>
      <c r="AA8" s="967" t="s">
        <v>591</v>
      </c>
      <c r="AB8" s="967" t="s">
        <v>592</v>
      </c>
      <c r="AC8" s="967" t="s">
        <v>593</v>
      </c>
      <c r="AD8" s="967" t="s">
        <v>594</v>
      </c>
      <c r="AE8" s="967" t="s">
        <v>595</v>
      </c>
      <c r="AF8" s="967" t="s">
        <v>596</v>
      </c>
      <c r="AG8" s="967" t="s">
        <v>597</v>
      </c>
      <c r="AH8" s="968" t="s">
        <v>598</v>
      </c>
      <c r="AI8" s="969" t="s">
        <v>599</v>
      </c>
      <c r="AJ8" s="969" t="s">
        <v>600</v>
      </c>
      <c r="AK8" s="969" t="s">
        <v>601</v>
      </c>
      <c r="AL8" s="969" t="s">
        <v>602</v>
      </c>
      <c r="AM8" s="969" t="s">
        <v>603</v>
      </c>
      <c r="AN8" s="969" t="s">
        <v>604</v>
      </c>
      <c r="AO8" s="969" t="s">
        <v>605</v>
      </c>
      <c r="AP8" s="970" t="s">
        <v>606</v>
      </c>
      <c r="AQ8" s="971" t="s">
        <v>607</v>
      </c>
      <c r="AR8" s="971" t="s">
        <v>608</v>
      </c>
      <c r="AS8" s="971" t="s">
        <v>609</v>
      </c>
      <c r="AT8" s="971" t="s">
        <v>610</v>
      </c>
      <c r="AU8" s="971" t="s">
        <v>611</v>
      </c>
      <c r="AV8" s="971" t="s">
        <v>612</v>
      </c>
      <c r="AW8" s="971" t="s">
        <v>613</v>
      </c>
      <c r="AX8" s="972" t="s">
        <v>614</v>
      </c>
      <c r="AY8" s="973" t="s">
        <v>615</v>
      </c>
      <c r="AZ8" s="973" t="s">
        <v>616</v>
      </c>
      <c r="BA8" s="973" t="s">
        <v>617</v>
      </c>
      <c r="BB8" s="970" t="s">
        <v>618</v>
      </c>
      <c r="BC8" s="971" t="s">
        <v>619</v>
      </c>
      <c r="BD8" s="971" t="s">
        <v>620</v>
      </c>
      <c r="BE8" s="974" t="s">
        <v>621</v>
      </c>
      <c r="BF8" s="975" t="s">
        <v>622</v>
      </c>
      <c r="BG8" s="976" t="s">
        <v>623</v>
      </c>
      <c r="BH8" s="976" t="s">
        <v>624</v>
      </c>
      <c r="BI8" s="976" t="s">
        <v>625</v>
      </c>
      <c r="BJ8" s="977" t="s">
        <v>626</v>
      </c>
      <c r="BK8" s="978" t="s">
        <v>627</v>
      </c>
      <c r="BL8" s="978" t="s">
        <v>628</v>
      </c>
      <c r="BM8" s="978" t="s">
        <v>629</v>
      </c>
      <c r="BN8" s="979" t="s">
        <v>630</v>
      </c>
      <c r="BO8" s="979" t="s">
        <v>631</v>
      </c>
      <c r="BP8" s="979" t="s">
        <v>632</v>
      </c>
      <c r="BQ8" s="980" t="s">
        <v>633</v>
      </c>
      <c r="BR8" s="980" t="s">
        <v>634</v>
      </c>
      <c r="BS8" s="980" t="s">
        <v>635</v>
      </c>
      <c r="BT8" s="981" t="s">
        <v>636</v>
      </c>
      <c r="BU8" s="981" t="s">
        <v>637</v>
      </c>
      <c r="BV8" s="981" t="s">
        <v>638</v>
      </c>
      <c r="BW8" s="981" t="s">
        <v>639</v>
      </c>
      <c r="BX8" s="982" t="s">
        <v>640</v>
      </c>
      <c r="BY8" s="983" t="s">
        <v>641</v>
      </c>
      <c r="BZ8" s="983" t="s">
        <v>642</v>
      </c>
      <c r="CA8" s="983" t="s">
        <v>643</v>
      </c>
      <c r="CB8" s="983" t="s">
        <v>644</v>
      </c>
      <c r="CC8" s="983" t="s">
        <v>645</v>
      </c>
      <c r="CD8" s="983" t="s">
        <v>646</v>
      </c>
      <c r="CE8" s="983" t="s">
        <v>647</v>
      </c>
      <c r="CF8" s="983" t="s">
        <v>648</v>
      </c>
      <c r="CG8" s="983" t="s">
        <v>649</v>
      </c>
      <c r="CH8" s="983" t="s">
        <v>650</v>
      </c>
      <c r="CI8" s="983" t="s">
        <v>651</v>
      </c>
      <c r="CJ8" s="983" t="s">
        <v>652</v>
      </c>
      <c r="CK8" s="983" t="s">
        <v>653</v>
      </c>
      <c r="CL8" s="984" t="s">
        <v>654</v>
      </c>
      <c r="CM8" s="984" t="s">
        <v>655</v>
      </c>
      <c r="CN8" s="984" t="s">
        <v>656</v>
      </c>
      <c r="CO8" s="984" t="s">
        <v>657</v>
      </c>
      <c r="CP8" s="984" t="s">
        <v>658</v>
      </c>
      <c r="CQ8" s="984" t="s">
        <v>659</v>
      </c>
      <c r="CR8" s="984" t="s">
        <v>660</v>
      </c>
      <c r="CS8" s="980" t="s">
        <v>661</v>
      </c>
      <c r="CT8" s="985" t="s">
        <v>662</v>
      </c>
      <c r="CU8" s="985" t="s">
        <v>662</v>
      </c>
      <c r="CV8" s="986" t="s">
        <v>663</v>
      </c>
      <c r="CW8" s="986" t="s">
        <v>664</v>
      </c>
      <c r="CX8" s="986" t="s">
        <v>665</v>
      </c>
      <c r="CY8" s="986" t="s">
        <v>666</v>
      </c>
      <c r="CZ8" s="986" t="s">
        <v>667</v>
      </c>
      <c r="DA8" s="986" t="s">
        <v>668</v>
      </c>
      <c r="DB8" s="986" t="s">
        <v>669</v>
      </c>
      <c r="DC8" s="986" t="s">
        <v>670</v>
      </c>
      <c r="DD8" s="986" t="s">
        <v>671</v>
      </c>
      <c r="DE8" s="986" t="s">
        <v>672</v>
      </c>
      <c r="DF8" s="986" t="s">
        <v>673</v>
      </c>
      <c r="DG8" s="986" t="s">
        <v>674</v>
      </c>
      <c r="DH8" s="986" t="s">
        <v>675</v>
      </c>
      <c r="DI8" s="986" t="s">
        <v>676</v>
      </c>
      <c r="DJ8" s="986" t="s">
        <v>677</v>
      </c>
      <c r="DK8" s="986" t="s">
        <v>678</v>
      </c>
      <c r="DL8" s="986" t="s">
        <v>679</v>
      </c>
      <c r="DM8" s="986" t="s">
        <v>680</v>
      </c>
      <c r="DN8" s="987" t="s">
        <v>681</v>
      </c>
      <c r="DO8" s="987" t="s">
        <v>682</v>
      </c>
      <c r="DP8" s="987" t="s">
        <v>683</v>
      </c>
      <c r="DQ8" s="987" t="s">
        <v>684</v>
      </c>
      <c r="DR8" s="987" t="s">
        <v>730</v>
      </c>
      <c r="DS8" s="987" t="s">
        <v>731</v>
      </c>
      <c r="DT8" s="963" t="s">
        <v>685</v>
      </c>
      <c r="DU8" s="963" t="s">
        <v>686</v>
      </c>
      <c r="DV8" s="963" t="s">
        <v>687</v>
      </c>
      <c r="DW8" s="981" t="s">
        <v>688</v>
      </c>
      <c r="DX8" s="981" t="s">
        <v>689</v>
      </c>
      <c r="DY8" s="981" t="s">
        <v>690</v>
      </c>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row>
    <row r="9" spans="1:377" s="1007" customFormat="1" x14ac:dyDescent="0.2">
      <c r="A9" s="989">
        <f ca="1">TODAY()</f>
        <v>46317</v>
      </c>
      <c r="B9" s="958">
        <f>'B_KZP_Allgemeine Angaben'!L47</f>
        <v>0</v>
      </c>
      <c r="C9" s="1019">
        <f>'B_KZP_Allgemeine Angaben'!L47</f>
        <v>0</v>
      </c>
      <c r="D9" s="990">
        <f>'B_KZP_Allgemeine Angaben'!L6</f>
        <v>0</v>
      </c>
      <c r="E9" s="331" t="s">
        <v>691</v>
      </c>
      <c r="F9" s="991">
        <f>B_KZP_Kalkulation!D7/100</f>
        <v>0</v>
      </c>
      <c r="G9" s="991">
        <f>B_KZP_Kalkulation!D7/100</f>
        <v>0</v>
      </c>
      <c r="H9" s="992">
        <f>B_KZP_Kalkulation!L22</f>
        <v>0</v>
      </c>
      <c r="I9" s="993"/>
      <c r="J9" s="993"/>
      <c r="K9" s="993"/>
      <c r="L9" s="993"/>
      <c r="M9" s="993"/>
      <c r="N9" s="992">
        <f>B_KZP_Kalkulation!L25</f>
        <v>0</v>
      </c>
      <c r="O9" s="993"/>
      <c r="P9" s="993"/>
      <c r="Q9" s="993"/>
      <c r="R9" s="993"/>
      <c r="S9" s="992">
        <f>B_KZP_Kalkulation!L30</f>
        <v>0</v>
      </c>
      <c r="T9" s="994"/>
      <c r="U9" s="994"/>
      <c r="V9" s="994"/>
      <c r="W9" s="994"/>
      <c r="X9" s="995" t="str">
        <f>B_KZP_Kalkulation!M34</f>
        <v/>
      </c>
      <c r="Y9" s="995" t="str">
        <f>B_KZP_Kalkulation!M35</f>
        <v/>
      </c>
      <c r="Z9" s="995" t="str">
        <f>B_KZP_Kalkulation!M36</f>
        <v/>
      </c>
      <c r="AA9" s="1017" t="str">
        <f>B_KZP_Kalkulation!M37</f>
        <v/>
      </c>
      <c r="AB9" s="1017" t="str">
        <f>B_KZP_Kalkulation!M38</f>
        <v/>
      </c>
      <c r="AC9" s="995" t="str">
        <f>B_KZP_Kalkulation!M39</f>
        <v/>
      </c>
      <c r="AD9" s="995" t="str">
        <f>B_KZP_Kalkulation!M40</f>
        <v/>
      </c>
      <c r="AE9" s="995" t="str">
        <f>B_KZP_Kalkulation!M41</f>
        <v/>
      </c>
      <c r="AF9" s="995" t="str">
        <f>B_KZP_Kalkulation!M42</f>
        <v/>
      </c>
      <c r="AG9" s="995" t="str">
        <f>B_KZP_Kalkulation!M43</f>
        <v/>
      </c>
      <c r="AH9" s="995" t="str">
        <f>B_KZP_Kalkulation!M47</f>
        <v/>
      </c>
      <c r="AI9" s="995" t="str">
        <f>B_KZP_Kalkulation!M48</f>
        <v/>
      </c>
      <c r="AJ9" s="994"/>
      <c r="AK9" s="995" t="str">
        <f>B_KZP_Kalkulation!M49</f>
        <v/>
      </c>
      <c r="AL9" s="1017" t="str">
        <f>B_KZP_Kalkulation!M51</f>
        <v/>
      </c>
      <c r="AM9" s="995" t="str">
        <f>B_KZP_Kalkulation!M50</f>
        <v/>
      </c>
      <c r="AN9" s="995" t="str">
        <f>B_KZP_Kalkulation!M52</f>
        <v/>
      </c>
      <c r="AO9" s="995" t="str">
        <f>B_KZP_Kalkulation!M53</f>
        <v/>
      </c>
      <c r="AP9" s="996" t="str">
        <f>B_KZP_Ergebnis!F60</f>
        <v/>
      </c>
      <c r="AQ9" s="996" t="str">
        <f>B_KZP_Ergebnis!F60</f>
        <v/>
      </c>
      <c r="AR9" s="996" t="str">
        <f>B_KZP_Ergebnis!F60</f>
        <v/>
      </c>
      <c r="AS9" s="996" t="str">
        <f>B_KZP_Ergebnis!F60</f>
        <v/>
      </c>
      <c r="AT9" s="996" t="str">
        <f>B_KZP_Ergebnis!F60</f>
        <v/>
      </c>
      <c r="AU9" s="997"/>
      <c r="AV9" s="996" t="str">
        <f>B_KZP_Ergebnis!F66</f>
        <v/>
      </c>
      <c r="AW9" s="996" t="str">
        <f>B_KZP_Ergebnis!F68</f>
        <v/>
      </c>
      <c r="AX9" s="997"/>
      <c r="AY9" s="989" t="str">
        <f>B_KZP_Ergebnis!F11</f>
        <v/>
      </c>
      <c r="AZ9" s="989">
        <f>B_KZP_Ergebnis!I11</f>
        <v>0</v>
      </c>
      <c r="BA9" s="958">
        <f>IF(B_KZP_Ergebnis!B73="AOK PLUS","pauschal SAC B AOK",IF(B_KZP_Ergebnis!B73="KSV","pauschal SAC B KSV",IF(B_KZP_Ergebnis!B73="vdek","pauschal SAC B vdek",0)))</f>
        <v>0</v>
      </c>
      <c r="BB9" s="995" t="str">
        <f>B_KZP_Ergebnis!F60</f>
        <v/>
      </c>
      <c r="BC9" s="995" t="str">
        <f>B_KZP_Ergebnis!F66</f>
        <v/>
      </c>
      <c r="BD9" s="995" t="str">
        <f>B_KZP_Ergebnis!F68</f>
        <v/>
      </c>
      <c r="BE9" s="998"/>
      <c r="BF9" s="990">
        <f>B_KZP_Ergebnis!F16</f>
        <v>0</v>
      </c>
      <c r="BG9" s="990">
        <f>B_KZP_Ergebnis!F17</f>
        <v>0</v>
      </c>
      <c r="BH9" s="990">
        <f>B_KZP_Ergebnis!F18</f>
        <v>0</v>
      </c>
      <c r="BI9" s="990">
        <f>B_KZP_Ergebnis!F19</f>
        <v>0</v>
      </c>
      <c r="BJ9" s="990">
        <f>B_KZP_Ergebnis!F20</f>
        <v>0</v>
      </c>
      <c r="BK9" s="999"/>
      <c r="BL9" s="999"/>
      <c r="BM9" s="999"/>
      <c r="BN9" s="999"/>
      <c r="BO9" s="999"/>
      <c r="BP9" s="999"/>
      <c r="BQ9" s="999"/>
      <c r="BR9" s="999"/>
      <c r="BS9" s="999"/>
      <c r="BT9" s="1030">
        <f>B_KZP_Ergebnis!I34</f>
        <v>0</v>
      </c>
      <c r="BU9" s="994"/>
      <c r="BV9" s="994"/>
      <c r="BW9" s="994"/>
      <c r="BX9" s="1000">
        <f>B_KZP_Ergebnis!F39</f>
        <v>0</v>
      </c>
      <c r="BY9" s="958">
        <f>'B_KZP_Allgemeine Angaben'!H55</f>
        <v>0</v>
      </c>
      <c r="BZ9" s="1001">
        <f>'B_KZP_Allgemeine Angaben'!H56</f>
        <v>0</v>
      </c>
      <c r="CA9" s="958">
        <f>'B_KZP_Allgemeine Angaben'!H57</f>
        <v>0</v>
      </c>
      <c r="CB9" s="997"/>
      <c r="CC9" s="997"/>
      <c r="CD9" s="997"/>
      <c r="CE9" s="997"/>
      <c r="CF9" s="999"/>
      <c r="CG9" s="999"/>
      <c r="CH9" s="999"/>
      <c r="CI9" s="997"/>
      <c r="CJ9" s="997"/>
      <c r="CK9" s="997"/>
      <c r="CL9" s="1002"/>
      <c r="CM9" s="1003"/>
      <c r="CN9" s="1004"/>
      <c r="CO9" s="1003"/>
      <c r="CP9" s="1005"/>
      <c r="CQ9" s="1003"/>
      <c r="CR9" s="1006"/>
      <c r="CS9" s="1005"/>
      <c r="CT9" s="958"/>
      <c r="CU9" s="958"/>
      <c r="CV9" s="998"/>
      <c r="CW9" s="998"/>
      <c r="CX9" s="998"/>
      <c r="CY9" s="998"/>
      <c r="CZ9" s="998"/>
      <c r="DA9" s="998"/>
      <c r="DB9" s="998"/>
      <c r="DC9" s="998"/>
      <c r="DD9" s="998"/>
      <c r="DE9" s="998"/>
      <c r="DF9" s="998"/>
      <c r="DG9" s="998"/>
      <c r="DH9" s="998"/>
      <c r="DI9" s="998"/>
      <c r="DJ9" s="998"/>
      <c r="DK9" s="998"/>
      <c r="DL9" s="998"/>
      <c r="DM9" s="998"/>
      <c r="DN9" s="1032" t="e">
        <f>B_KZP_Gesamtkalkulation!D13/SUMPRODUCT(B_KZP_Kalkulation!D23:D30,B_KZP_Kalkulation!F23:F30)-1</f>
        <v>#DIV/0!</v>
      </c>
      <c r="DO9" s="1032" t="e">
        <f>(B_KZP_Gesamtkalkulation!D13-B_KZP_Gesamtkalkulation!D19)/SUMPRODUCT(B_KZP_Kalkulation!D23:D29,B_KZP_Kalkulation!F23:F29)-1</f>
        <v>#DIV/0!</v>
      </c>
      <c r="DP9" s="1033" t="e">
        <f>(B_KZP_Kalkulation!L44/B_KZP_Kalkulation!F44-1)</f>
        <v>#DIV/0!</v>
      </c>
      <c r="DQ9" s="1033" t="e">
        <f>B_KZP_Kalkulation!L54/B_KZP_Kalkulation!F54-1</f>
        <v>#DIV/0!</v>
      </c>
      <c r="DR9" s="1034">
        <f>B_KZP_Gesamtkalkulation!D13+B_KZP_Gesamtkalkulation!D21+B_KZP_Gesamtkalkulation!D33</f>
        <v>0</v>
      </c>
      <c r="DS9" s="1034">
        <f>DR9-B_KZP_Gesamtkalkulation!D16</f>
        <v>0</v>
      </c>
      <c r="DT9" s="995">
        <f>B_KZP_Kalkulation!L23</f>
        <v>0</v>
      </c>
      <c r="DU9" s="995">
        <f>B_KZP_Kalkulation!L26</f>
        <v>0</v>
      </c>
      <c r="DV9" s="995">
        <f>B_KZP_Kalkulation!L27</f>
        <v>0</v>
      </c>
      <c r="DW9" s="1035" t="str">
        <f>B_KZP_Ergebnis!I28</f>
        <v/>
      </c>
      <c r="DX9" s="1035" t="e">
        <f>B_KZP_Ergebnis!I30</f>
        <v>#DIV/0!</v>
      </c>
      <c r="DY9" s="1035">
        <f>B_KZP_Ergebnis!I36</f>
        <v>0</v>
      </c>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row>
    <row r="10" spans="1:377" ht="63.75" x14ac:dyDescent="0.2">
      <c r="I10" s="958" t="s">
        <v>692</v>
      </c>
      <c r="J10" s="958" t="s">
        <v>692</v>
      </c>
      <c r="K10" s="958" t="s">
        <v>692</v>
      </c>
      <c r="L10" s="958" t="s">
        <v>692</v>
      </c>
      <c r="M10" s="958" t="s">
        <v>692</v>
      </c>
      <c r="N10" s="958"/>
      <c r="O10" s="958" t="s">
        <v>692</v>
      </c>
      <c r="P10" s="958" t="s">
        <v>692</v>
      </c>
      <c r="Q10" s="958" t="s">
        <v>692</v>
      </c>
      <c r="R10" s="958" t="s">
        <v>692</v>
      </c>
      <c r="T10" s="1008" t="s">
        <v>725</v>
      </c>
      <c r="U10" s="1008" t="s">
        <v>692</v>
      </c>
      <c r="V10" s="1008" t="s">
        <v>692</v>
      </c>
      <c r="W10" s="1008" t="s">
        <v>692</v>
      </c>
      <c r="AA10" s="1018" t="s">
        <v>693</v>
      </c>
      <c r="AB10" s="1018" t="s">
        <v>693</v>
      </c>
      <c r="AJ10" s="958" t="s">
        <v>694</v>
      </c>
      <c r="AL10" s="1018" t="s">
        <v>693</v>
      </c>
      <c r="AT10" s="958"/>
      <c r="AU10" s="958" t="s">
        <v>692</v>
      </c>
      <c r="AV10" s="958"/>
      <c r="AW10" s="958"/>
      <c r="AX10" s="958" t="s">
        <v>692</v>
      </c>
      <c r="BE10" s="1028" t="s">
        <v>692</v>
      </c>
      <c r="BK10" s="958" t="s">
        <v>692</v>
      </c>
      <c r="BL10" s="958" t="s">
        <v>692</v>
      </c>
      <c r="BM10" s="958" t="s">
        <v>692</v>
      </c>
      <c r="BN10" s="958" t="s">
        <v>692</v>
      </c>
      <c r="BO10" s="958" t="s">
        <v>692</v>
      </c>
      <c r="BP10" s="958" t="s">
        <v>692</v>
      </c>
      <c r="BQ10" s="958" t="s">
        <v>692</v>
      </c>
      <c r="BR10" s="958" t="s">
        <v>692</v>
      </c>
      <c r="BS10" s="958" t="s">
        <v>692</v>
      </c>
      <c r="BT10" s="1009" t="s">
        <v>695</v>
      </c>
      <c r="BU10" s="958" t="s">
        <v>692</v>
      </c>
      <c r="BV10" s="958" t="s">
        <v>692</v>
      </c>
      <c r="BW10" s="958" t="s">
        <v>692</v>
      </c>
      <c r="BZ10" s="958"/>
      <c r="CB10" s="1016" t="s">
        <v>715</v>
      </c>
      <c r="CC10" s="1016" t="s">
        <v>717</v>
      </c>
      <c r="CD10" s="1016" t="s">
        <v>716</v>
      </c>
      <c r="CE10" s="1016" t="s">
        <v>718</v>
      </c>
      <c r="CF10" s="1016" t="s">
        <v>719</v>
      </c>
      <c r="CG10" s="1016" t="s">
        <v>720</v>
      </c>
      <c r="CH10" s="1016" t="s">
        <v>721</v>
      </c>
      <c r="CI10" s="1016" t="s">
        <v>722</v>
      </c>
      <c r="CJ10" s="1016" t="s">
        <v>723</v>
      </c>
      <c r="CK10" s="1016" t="s">
        <v>724</v>
      </c>
      <c r="CL10" s="958" t="s">
        <v>696</v>
      </c>
      <c r="CM10" s="958" t="s">
        <v>696</v>
      </c>
      <c r="CN10" s="958" t="s">
        <v>696</v>
      </c>
      <c r="CO10" s="958" t="s">
        <v>696</v>
      </c>
      <c r="CP10" s="958" t="s">
        <v>696</v>
      </c>
      <c r="CQ10" s="958" t="s">
        <v>696</v>
      </c>
      <c r="CR10" s="958" t="s">
        <v>696</v>
      </c>
      <c r="CS10" s="958" t="s">
        <v>696</v>
      </c>
      <c r="CV10" s="1031" t="s">
        <v>697</v>
      </c>
      <c r="CW10" s="201"/>
      <c r="CX10" s="1031"/>
      <c r="CY10" s="958" t="s">
        <v>698</v>
      </c>
      <c r="DC10" s="1010"/>
      <c r="DH10" s="1010"/>
      <c r="DJ10" s="1010"/>
    </row>
    <row r="11" spans="1:377" ht="38.25" x14ac:dyDescent="0.2">
      <c r="B11" s="1" t="s">
        <v>699</v>
      </c>
      <c r="C11" t="s">
        <v>700</v>
      </c>
      <c r="AA11" s="226"/>
      <c r="BK11" s="1029" t="s">
        <v>701</v>
      </c>
      <c r="BN11" s="1082" t="s">
        <v>727</v>
      </c>
      <c r="BO11" s="1082"/>
      <c r="BP11" s="1082"/>
      <c r="BT11" s="1029" t="s">
        <v>728</v>
      </c>
      <c r="BU11" s="1083" t="s">
        <v>702</v>
      </c>
      <c r="BV11" s="1083"/>
      <c r="BW11" s="1083"/>
    </row>
    <row r="12" spans="1:377" x14ac:dyDescent="0.2">
      <c r="B12" s="1011" t="s">
        <v>703</v>
      </c>
      <c r="C12" s="1012" t="s">
        <v>704</v>
      </c>
      <c r="D12" s="1012"/>
      <c r="E12" s="1012"/>
      <c r="F12" s="1012"/>
      <c r="G12" s="1012"/>
      <c r="H12" s="1012"/>
      <c r="I12" s="1012"/>
      <c r="J12" s="1012"/>
    </row>
    <row r="13" spans="1:377" x14ac:dyDescent="0.2">
      <c r="B13" s="1" t="s">
        <v>705</v>
      </c>
      <c r="C13" t="s">
        <v>706</v>
      </c>
    </row>
    <row r="14" spans="1:377" x14ac:dyDescent="0.2">
      <c r="B14" s="1" t="s">
        <v>707</v>
      </c>
      <c r="C14" t="s">
        <v>708</v>
      </c>
    </row>
    <row r="15" spans="1:377" x14ac:dyDescent="0.2">
      <c r="B15" s="1" t="s">
        <v>709</v>
      </c>
    </row>
    <row r="17" spans="2:2" ht="15" x14ac:dyDescent="0.25">
      <c r="B17" s="1013"/>
    </row>
    <row r="18" spans="2:2" x14ac:dyDescent="0.2">
      <c r="B18" s="48"/>
    </row>
    <row r="19" spans="2:2" x14ac:dyDescent="0.2">
      <c r="B19" s="48"/>
    </row>
    <row r="20" spans="2:2" x14ac:dyDescent="0.2">
      <c r="B20" s="48"/>
    </row>
    <row r="21" spans="2:2" x14ac:dyDescent="0.2">
      <c r="B21" s="48"/>
    </row>
    <row r="22" spans="2:2" x14ac:dyDescent="0.2">
      <c r="B22" s="48"/>
    </row>
  </sheetData>
  <sheetProtection algorithmName="SHA-512" hashValue="tJosBNDOPiKYA49mHBo0F9o3SBdHIQgV43IMk3CLbEhzLbpIQFq6igRU3NK1JiJT+Vb7PvVdgMPzZTmz5aLkXA==" saltValue="KPNcP/Z5nVN3uTn+s7jWYw==" spinCount="100000" sheet="1" objects="1" scenarios="1" selectLockedCells="1"/>
  <mergeCells count="2">
    <mergeCell ref="BN11:BP11"/>
    <mergeCell ref="BU11:BW11"/>
  </mergeCells>
  <pageMargins left="0.70866141732283472" right="0.70866141732283472" top="0.78740157480314965" bottom="0.78740157480314965" header="0.31496062992125984" footer="0.31496062992125984"/>
  <pageSetup paperSize="9" orientation="portrait"/>
  <headerFooter>
    <oddHeader>&amp;C&amp;A</oddHeader>
  </headerFooter>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9"/>
  <dimension ref="A1:O81"/>
  <sheetViews>
    <sheetView topLeftCell="A58" workbookViewId="0">
      <selection activeCell="B67" sqref="B67"/>
    </sheetView>
  </sheetViews>
  <sheetFormatPr baseColWidth="10" defaultColWidth="11.25" defaultRowHeight="12.75" x14ac:dyDescent="0.2"/>
  <cols>
    <col min="1" max="1" width="16.875" style="443" customWidth="1"/>
    <col min="2" max="2" width="13.625" style="443" customWidth="1"/>
    <col min="3" max="3" width="14" style="443" customWidth="1"/>
    <col min="4" max="4" width="11.25" style="443"/>
    <col min="5" max="5" width="19.125" style="443" customWidth="1"/>
    <col min="6" max="6" width="12.25" style="443" customWidth="1"/>
    <col min="7" max="10" width="11.25" style="443"/>
    <col min="11" max="11" width="12.75" style="443" customWidth="1"/>
    <col min="12" max="12" width="11.75" style="443" customWidth="1"/>
    <col min="13" max="14" width="11.25" style="443"/>
    <col min="15" max="16" width="17.375" style="443" customWidth="1"/>
    <col min="17" max="17" width="23.75" style="443" customWidth="1"/>
    <col min="18" max="16384" width="11.25" style="443"/>
  </cols>
  <sheetData>
    <row r="1" spans="1:10" s="119" customFormat="1" x14ac:dyDescent="0.2">
      <c r="A1" s="98" t="s">
        <v>90</v>
      </c>
      <c r="B1" s="156" t="s">
        <v>91</v>
      </c>
      <c r="C1" s="156" t="s">
        <v>62</v>
      </c>
      <c r="D1" s="156" t="s">
        <v>92</v>
      </c>
      <c r="E1" s="461" t="s">
        <v>93</v>
      </c>
      <c r="F1" s="156" t="s">
        <v>94</v>
      </c>
      <c r="G1" s="156" t="s">
        <v>327</v>
      </c>
      <c r="H1" s="462" t="s">
        <v>468</v>
      </c>
    </row>
    <row r="2" spans="1:10" x14ac:dyDescent="0.2">
      <c r="A2" s="463"/>
      <c r="B2" s="807" t="s">
        <v>95</v>
      </c>
      <c r="C2" s="806">
        <v>30.42</v>
      </c>
      <c r="D2" s="806">
        <v>365</v>
      </c>
      <c r="E2" s="808">
        <v>1</v>
      </c>
      <c r="F2" s="806" t="s">
        <v>96</v>
      </c>
      <c r="G2" s="806" t="s">
        <v>221</v>
      </c>
      <c r="H2" s="803" t="s">
        <v>19</v>
      </c>
      <c r="J2" s="625"/>
    </row>
    <row r="3" spans="1:10" x14ac:dyDescent="0.2">
      <c r="A3" s="502"/>
      <c r="B3" s="806"/>
      <c r="C3" s="806"/>
      <c r="D3" s="806"/>
      <c r="E3" s="808">
        <v>0.78</v>
      </c>
      <c r="F3" s="806" t="s">
        <v>97</v>
      </c>
      <c r="G3" s="806" t="s">
        <v>219</v>
      </c>
      <c r="H3" s="803" t="s">
        <v>469</v>
      </c>
    </row>
    <row r="4" spans="1:10" x14ac:dyDescent="0.2">
      <c r="A4" s="463"/>
      <c r="C4" s="806"/>
      <c r="D4" s="806"/>
      <c r="E4" s="808">
        <v>0.73</v>
      </c>
      <c r="F4" s="806"/>
      <c r="G4" s="806" t="s">
        <v>220</v>
      </c>
      <c r="H4" s="803" t="s">
        <v>20</v>
      </c>
    </row>
    <row r="5" spans="1:10" x14ac:dyDescent="0.2">
      <c r="A5" s="463"/>
      <c r="C5" s="806"/>
      <c r="D5" s="806"/>
      <c r="E5" s="808">
        <v>0.7</v>
      </c>
      <c r="G5" s="806" t="s">
        <v>326</v>
      </c>
      <c r="H5" s="804"/>
    </row>
    <row r="6" spans="1:10" x14ac:dyDescent="0.2">
      <c r="A6" s="448"/>
      <c r="E6" s="808"/>
      <c r="H6" s="804"/>
    </row>
    <row r="7" spans="1:10" x14ac:dyDescent="0.2">
      <c r="A7" s="463"/>
      <c r="H7" s="804"/>
    </row>
    <row r="8" spans="1:10" ht="14.25" x14ac:dyDescent="0.2">
      <c r="A8" s="503"/>
      <c r="B8" s="451"/>
      <c r="C8" s="451"/>
      <c r="D8" s="623" t="s">
        <v>395</v>
      </c>
      <c r="E8" s="624">
        <f>IF('B_KZP_Allgemeine Angaben'!H45="",0,DATEDIF('B_KZP_Allgemeine Angaben'!H45,'B_KZP_Allgemeine Angaben'!H51,"m"))</f>
        <v>0</v>
      </c>
      <c r="F8" s="451"/>
      <c r="G8" s="451"/>
      <c r="H8" s="805"/>
    </row>
    <row r="10" spans="1:10" ht="15" x14ac:dyDescent="0.25">
      <c r="A10" s="58" t="s">
        <v>398</v>
      </c>
      <c r="B10"/>
      <c r="C10" s="628" t="s">
        <v>399</v>
      </c>
    </row>
    <row r="11" spans="1:10" ht="14.25" x14ac:dyDescent="0.2">
      <c r="A11" t="s">
        <v>9</v>
      </c>
      <c r="B11">
        <v>20</v>
      </c>
      <c r="C11" s="632">
        <f>ROUND('B_KZP_Allgemeine Angaben'!$L$47/B11,4)</f>
        <v>0</v>
      </c>
    </row>
    <row r="12" spans="1:10" ht="14.25" x14ac:dyDescent="0.2">
      <c r="A12" t="s">
        <v>400</v>
      </c>
      <c r="B12">
        <v>1.7</v>
      </c>
      <c r="C12" s="632">
        <f>ROUND('B_KZP_Allgemeine Angaben'!$L$47/B12,4)</f>
        <v>0</v>
      </c>
    </row>
    <row r="13" spans="1:10" ht="14.25" x14ac:dyDescent="0.2">
      <c r="A13" t="s">
        <v>401</v>
      </c>
      <c r="B13">
        <v>15</v>
      </c>
      <c r="C13" s="632">
        <f>ROUND('B_KZP_Allgemeine Angaben'!$L$47/B13,4)</f>
        <v>0</v>
      </c>
    </row>
    <row r="14" spans="1:10" ht="14.25" x14ac:dyDescent="0.2">
      <c r="A14" t="s">
        <v>402</v>
      </c>
      <c r="B14">
        <v>4.5</v>
      </c>
      <c r="C14" s="632">
        <f>ROUND('B_KZP_Allgemeine Angaben'!$L$47/B14,4)</f>
        <v>0</v>
      </c>
    </row>
    <row r="15" spans="1:10" ht="14.25" x14ac:dyDescent="0.2">
      <c r="A15" t="s">
        <v>403</v>
      </c>
      <c r="B15">
        <v>20</v>
      </c>
      <c r="C15" s="632">
        <f>ROUND('B_KZP_Allgemeine Angaben'!$L$47/B15,4)</f>
        <v>0</v>
      </c>
    </row>
    <row r="19" spans="1:15" x14ac:dyDescent="0.2">
      <c r="A19" s="907" t="s">
        <v>190</v>
      </c>
      <c r="B19" s="908"/>
      <c r="C19" s="908"/>
      <c r="D19" s="908"/>
      <c r="E19" s="908"/>
      <c r="F19" s="908"/>
      <c r="G19" s="870"/>
      <c r="H19" s="870"/>
      <c r="I19" s="446"/>
      <c r="J19" s="446"/>
      <c r="K19" s="446"/>
      <c r="L19" s="446"/>
      <c r="M19" s="446"/>
      <c r="N19" s="446"/>
      <c r="O19" s="447"/>
    </row>
    <row r="20" spans="1:15" ht="25.5" x14ac:dyDescent="0.2">
      <c r="A20" s="909" t="s">
        <v>178</v>
      </c>
      <c r="B20" s="1092" t="s">
        <v>295</v>
      </c>
      <c r="C20" s="1093"/>
      <c r="D20" s="910" t="s">
        <v>178</v>
      </c>
      <c r="E20" s="1094" t="s">
        <v>294</v>
      </c>
      <c r="F20" s="1095"/>
      <c r="G20" s="843" t="s">
        <v>279</v>
      </c>
      <c r="H20" s="844"/>
      <c r="O20" s="449"/>
    </row>
    <row r="21" spans="1:15" ht="14.25" customHeight="1" x14ac:dyDescent="0.2">
      <c r="A21" s="909"/>
      <c r="B21" s="911" t="s">
        <v>455</v>
      </c>
      <c r="C21" s="911"/>
      <c r="D21" s="910"/>
      <c r="E21" s="911" t="s">
        <v>455</v>
      </c>
      <c r="F21" s="911"/>
      <c r="G21" s="843" t="s">
        <v>281</v>
      </c>
      <c r="H21" s="844"/>
      <c r="O21" s="449"/>
    </row>
    <row r="22" spans="1:15" x14ac:dyDescent="0.2">
      <c r="A22" s="912" t="s">
        <v>355</v>
      </c>
      <c r="B22" s="913">
        <v>8.5000000000000006E-2</v>
      </c>
      <c r="C22" s="913"/>
      <c r="D22" s="914" t="s">
        <v>255</v>
      </c>
      <c r="E22" s="915">
        <v>5.1499999999999997E-2</v>
      </c>
      <c r="F22" s="916"/>
      <c r="G22" s="843" t="s">
        <v>280</v>
      </c>
      <c r="H22" s="844"/>
      <c r="O22" s="449"/>
    </row>
    <row r="23" spans="1:15" ht="25.5" x14ac:dyDescent="0.2">
      <c r="A23" s="917" t="s">
        <v>191</v>
      </c>
      <c r="B23" s="913">
        <v>4.1500000000000002E-2</v>
      </c>
      <c r="C23" s="913"/>
      <c r="D23" s="914" t="s">
        <v>256</v>
      </c>
      <c r="E23" s="915">
        <v>5.1499999999999997E-2</v>
      </c>
      <c r="F23" s="916"/>
      <c r="G23" s="844" t="s">
        <v>456</v>
      </c>
      <c r="H23" s="844"/>
      <c r="O23" s="449"/>
    </row>
    <row r="24" spans="1:15" x14ac:dyDescent="0.2">
      <c r="A24" s="914" t="s">
        <v>262</v>
      </c>
      <c r="B24" s="915">
        <v>0.02</v>
      </c>
      <c r="C24" s="916"/>
      <c r="D24" s="914" t="s">
        <v>257</v>
      </c>
      <c r="E24" s="915">
        <v>4.1000000000000002E-2</v>
      </c>
      <c r="F24" s="916"/>
      <c r="G24" s="844"/>
      <c r="H24" s="844"/>
      <c r="O24" s="449"/>
    </row>
    <row r="25" spans="1:15" x14ac:dyDescent="0.2">
      <c r="O25" s="449"/>
    </row>
    <row r="26" spans="1:15" ht="13.5" thickBot="1" x14ac:dyDescent="0.25">
      <c r="A26" s="504"/>
      <c r="O26" s="449"/>
    </row>
    <row r="27" spans="1:15" ht="31.5" customHeight="1" thickBot="1" x14ac:dyDescent="0.25">
      <c r="A27" s="882" t="s">
        <v>202</v>
      </c>
      <c r="B27" s="1086">
        <v>2026</v>
      </c>
      <c r="C27" s="1087"/>
      <c r="D27" s="1088"/>
      <c r="F27" s="1089" t="s">
        <v>261</v>
      </c>
      <c r="G27" s="1090"/>
      <c r="H27" s="1090"/>
      <c r="I27" s="1090"/>
      <c r="J27" s="1090"/>
      <c r="K27" s="1090"/>
      <c r="L27" s="1091"/>
      <c r="O27" s="449"/>
    </row>
    <row r="28" spans="1:15" ht="13.5" thickBot="1" x14ac:dyDescent="0.25">
      <c r="A28" s="883" t="s">
        <v>203</v>
      </c>
      <c r="B28" s="884" t="s">
        <v>204</v>
      </c>
      <c r="C28" s="885" t="s">
        <v>205</v>
      </c>
      <c r="D28" s="886" t="s">
        <v>206</v>
      </c>
      <c r="L28" s="537" t="s">
        <v>357</v>
      </c>
      <c r="O28" s="449"/>
    </row>
    <row r="29" spans="1:15" ht="25.5" x14ac:dyDescent="0.2">
      <c r="A29" s="887" t="s">
        <v>207</v>
      </c>
      <c r="B29" s="888">
        <f>14.6%+3.1%</f>
        <v>0.17699999999999999</v>
      </c>
      <c r="C29" s="889">
        <f>B29/2</f>
        <v>8.8499999999999995E-2</v>
      </c>
      <c r="D29" s="890">
        <f>C29</f>
        <v>8.8499999999999995E-2</v>
      </c>
      <c r="I29" s="926" t="s">
        <v>488</v>
      </c>
      <c r="J29" s="919" t="s">
        <v>321</v>
      </c>
      <c r="K29" s="918" t="s">
        <v>489</v>
      </c>
      <c r="L29" s="539" t="str">
        <f>IF(OR('B_KZP_Allgemeine Angaben'!$H$55="ja",'B_KZP_Allgemeine Angaben'!H56&lt;&gt;"rüE"),KAT!K29,KAT!J29)</f>
        <v>Tarifbindung/Tarifanlehnung</v>
      </c>
      <c r="O29" s="449"/>
    </row>
    <row r="30" spans="1:15" x14ac:dyDescent="0.2">
      <c r="A30" s="891" t="s">
        <v>208</v>
      </c>
      <c r="B30" s="892">
        <f>C30*2</f>
        <v>0.186</v>
      </c>
      <c r="C30" s="889">
        <v>9.2999999999999999E-2</v>
      </c>
      <c r="D30" s="890">
        <f t="shared" ref="D30:D31" si="0">C30</f>
        <v>9.2999999999999999E-2</v>
      </c>
      <c r="F30" s="523" t="s">
        <v>343</v>
      </c>
      <c r="G30" s="524"/>
      <c r="H30" s="454" t="s">
        <v>260</v>
      </c>
      <c r="I30" s="453"/>
      <c r="J30" s="920">
        <v>0.03</v>
      </c>
      <c r="K30" s="920">
        <v>0.05</v>
      </c>
      <c r="L30" s="535">
        <f>INDEX(I30:K30,MATCH($L$29,I$29:$K$29,0))</f>
        <v>0.05</v>
      </c>
      <c r="O30" s="449"/>
    </row>
    <row r="31" spans="1:15" x14ac:dyDescent="0.2">
      <c r="A31" s="891" t="s">
        <v>209</v>
      </c>
      <c r="B31" s="892">
        <f>C31*2</f>
        <v>2.5999999999999999E-2</v>
      </c>
      <c r="C31" s="889">
        <v>1.2999999999999999E-2</v>
      </c>
      <c r="D31" s="890">
        <f t="shared" si="0"/>
        <v>1.2999999999999999E-2</v>
      </c>
      <c r="F31" s="924" t="s">
        <v>490</v>
      </c>
      <c r="G31" s="538"/>
      <c r="H31" s="454" t="s">
        <v>260</v>
      </c>
      <c r="I31" s="453"/>
      <c r="J31" s="920">
        <v>3.4200000000000001E-2</v>
      </c>
      <c r="K31" s="920">
        <v>0.05</v>
      </c>
      <c r="L31" s="535">
        <f>INDEX(I31:K31,MATCH($L$29,I$29:$K$29,0))</f>
        <v>0.05</v>
      </c>
      <c r="O31" s="449"/>
    </row>
    <row r="32" spans="1:15" ht="21" customHeight="1" thickBot="1" x14ac:dyDescent="0.25">
      <c r="A32" s="891" t="s">
        <v>210</v>
      </c>
      <c r="B32" s="893">
        <f>3.4%+0.2%</f>
        <v>3.6000000000000004E-2</v>
      </c>
      <c r="C32" s="889">
        <f>1.2%+0.1%</f>
        <v>1.3000000000000001E-2</v>
      </c>
      <c r="D32" s="894">
        <f>2.2%+0.1%</f>
        <v>2.3000000000000003E-2</v>
      </c>
      <c r="F32" s="925" t="s">
        <v>493</v>
      </c>
      <c r="G32" s="457"/>
      <c r="H32" s="454" t="s">
        <v>260</v>
      </c>
      <c r="I32" s="458"/>
      <c r="J32" s="921">
        <v>0.03</v>
      </c>
      <c r="K32" s="921">
        <v>0.05</v>
      </c>
      <c r="L32" s="535">
        <f>INDEX(I32:K32,MATCH($L$29,I$29:$K$29,0))</f>
        <v>0.05</v>
      </c>
      <c r="O32" s="449"/>
    </row>
    <row r="33" spans="1:15" ht="22.5" customHeight="1" thickBot="1" x14ac:dyDescent="0.25">
      <c r="A33" s="895" t="s">
        <v>211</v>
      </c>
      <c r="B33" s="896"/>
      <c r="C33" s="897">
        <f>(C32+C31+C30+C29)</f>
        <v>0.20749999999999999</v>
      </c>
      <c r="D33" s="898"/>
      <c r="F33" s="456"/>
      <c r="G33" s="457"/>
      <c r="H33" s="454"/>
      <c r="I33" s="458"/>
      <c r="J33" s="921"/>
      <c r="K33" s="921"/>
      <c r="L33" s="535"/>
      <c r="O33" s="449"/>
    </row>
    <row r="34" spans="1:15" ht="13.5" thickBot="1" x14ac:dyDescent="0.25">
      <c r="A34" s="852" t="s">
        <v>212</v>
      </c>
      <c r="B34" s="899" t="s">
        <v>213</v>
      </c>
      <c r="C34" s="900">
        <v>4.4000000000000003E-3</v>
      </c>
      <c r="D34" s="901"/>
      <c r="F34" s="521"/>
      <c r="G34" s="522"/>
      <c r="H34" s="454"/>
      <c r="I34" s="536"/>
      <c r="J34" s="922"/>
      <c r="K34" s="922"/>
      <c r="L34" s="535"/>
      <c r="O34" s="449"/>
    </row>
    <row r="35" spans="1:15" ht="13.5" thickBot="1" x14ac:dyDescent="0.25">
      <c r="A35" s="852" t="s">
        <v>215</v>
      </c>
      <c r="B35" s="899" t="s">
        <v>216</v>
      </c>
      <c r="C35" s="900">
        <v>2.1499999999999998E-2</v>
      </c>
      <c r="D35" s="902"/>
      <c r="F35" s="456" t="s">
        <v>152</v>
      </c>
      <c r="G35" s="522"/>
      <c r="H35" s="455" t="s">
        <v>260</v>
      </c>
      <c r="I35" s="536"/>
      <c r="J35" s="922">
        <v>0.04</v>
      </c>
      <c r="K35" s="922">
        <v>0.04</v>
      </c>
      <c r="L35" s="535">
        <f>INDEX(I35:K35,MATCH($L$29,I$29:$K$29,0))</f>
        <v>0.04</v>
      </c>
      <c r="O35" s="449"/>
    </row>
    <row r="36" spans="1:15" ht="13.5" thickBot="1" x14ac:dyDescent="0.25">
      <c r="A36" s="903" t="s">
        <v>217</v>
      </c>
      <c r="B36" s="884"/>
      <c r="C36" s="904">
        <v>1.5E-3</v>
      </c>
      <c r="D36" s="902"/>
      <c r="I36" s="226"/>
      <c r="J36" s="923"/>
      <c r="K36" s="226"/>
      <c r="N36" s="337"/>
      <c r="O36" s="449"/>
    </row>
    <row r="37" spans="1:15" ht="13.5" thickBot="1" x14ac:dyDescent="0.25">
      <c r="A37" s="1099" t="s">
        <v>214</v>
      </c>
      <c r="B37" s="1100"/>
      <c r="C37" s="905">
        <f>(C33+C34+C36)</f>
        <v>0.21339999999999998</v>
      </c>
      <c r="D37" s="902"/>
      <c r="F37" s="456" t="s">
        <v>239</v>
      </c>
      <c r="G37" s="457"/>
      <c r="H37" s="454" t="s">
        <v>241</v>
      </c>
      <c r="I37" s="809"/>
      <c r="J37" s="921">
        <v>0.03</v>
      </c>
      <c r="K37" s="921">
        <f>J37</f>
        <v>0.03</v>
      </c>
      <c r="L37" s="535">
        <f>INDEX(I37:K37,MATCH($L$29,I$29:$K$29,0))</f>
        <v>0.03</v>
      </c>
      <c r="N37" s="337"/>
      <c r="O37" s="449"/>
    </row>
    <row r="38" spans="1:15" ht="13.5" thickBot="1" x14ac:dyDescent="0.25">
      <c r="A38" s="1099" t="s">
        <v>218</v>
      </c>
      <c r="B38" s="1100"/>
      <c r="C38" s="905">
        <f>C37+C35</f>
        <v>0.23489999999999997</v>
      </c>
      <c r="D38" s="906"/>
      <c r="E38" s="451"/>
      <c r="F38" s="456" t="s">
        <v>240</v>
      </c>
      <c r="G38" s="457"/>
      <c r="H38" s="454" t="s">
        <v>241</v>
      </c>
      <c r="I38" s="458"/>
      <c r="J38" s="921">
        <v>0.05</v>
      </c>
      <c r="K38" s="921">
        <v>0.05</v>
      </c>
      <c r="L38" s="535">
        <f>INDEX(I38:K38,MATCH($L$29,I$29:$K$29,0))</f>
        <v>0.05</v>
      </c>
      <c r="M38" s="451"/>
      <c r="N38" s="451"/>
      <c r="O38" s="452"/>
    </row>
    <row r="40" spans="1:15" x14ac:dyDescent="0.2">
      <c r="A40" s="869" t="s">
        <v>334</v>
      </c>
      <c r="B40" s="870"/>
      <c r="C40" s="870"/>
      <c r="D40" s="870"/>
      <c r="E40" s="870"/>
      <c r="F40" s="871"/>
    </row>
    <row r="41" spans="1:15" x14ac:dyDescent="0.2">
      <c r="A41" s="872"/>
      <c r="B41" s="844"/>
      <c r="C41" s="844"/>
      <c r="D41" s="844"/>
      <c r="E41" s="873" t="s">
        <v>470</v>
      </c>
      <c r="F41" s="874"/>
    </row>
    <row r="42" spans="1:15" x14ac:dyDescent="0.2">
      <c r="A42" s="875" t="s">
        <v>321</v>
      </c>
      <c r="B42" s="876"/>
      <c r="C42" s="876"/>
      <c r="D42" s="877"/>
      <c r="E42" s="878">
        <v>24.02</v>
      </c>
      <c r="F42" s="874"/>
    </row>
    <row r="43" spans="1:15" x14ac:dyDescent="0.2">
      <c r="A43" s="875" t="s">
        <v>325</v>
      </c>
      <c r="B43" s="876"/>
      <c r="C43" s="876"/>
      <c r="D43" s="877"/>
      <c r="E43" s="878">
        <v>27.18</v>
      </c>
      <c r="F43" s="874"/>
    </row>
    <row r="44" spans="1:15" x14ac:dyDescent="0.2">
      <c r="A44" s="875" t="s">
        <v>323</v>
      </c>
      <c r="B44" s="876"/>
      <c r="C44" s="876"/>
      <c r="D44" s="877"/>
      <c r="E44" s="878">
        <v>22.52</v>
      </c>
      <c r="F44" s="874"/>
    </row>
    <row r="45" spans="1:15" x14ac:dyDescent="0.2">
      <c r="A45" s="875" t="s">
        <v>324</v>
      </c>
      <c r="B45" s="876"/>
      <c r="C45" s="876"/>
      <c r="D45" s="877"/>
      <c r="E45" s="878">
        <v>20.88</v>
      </c>
      <c r="F45" s="874"/>
    </row>
    <row r="46" spans="1:15" x14ac:dyDescent="0.2">
      <c r="A46" s="879"/>
      <c r="B46" s="880"/>
      <c r="C46" s="880"/>
      <c r="D46" s="880"/>
      <c r="E46" s="873" t="s">
        <v>356</v>
      </c>
      <c r="F46" s="874"/>
    </row>
    <row r="47" spans="1:15" x14ac:dyDescent="0.2">
      <c r="A47" s="875" t="s">
        <v>335</v>
      </c>
      <c r="B47" s="876"/>
      <c r="C47" s="876"/>
      <c r="D47" s="877"/>
      <c r="E47" s="878">
        <v>14.6</v>
      </c>
      <c r="F47" s="874"/>
    </row>
    <row r="48" spans="1:15" x14ac:dyDescent="0.2">
      <c r="A48" s="879"/>
      <c r="B48" s="880"/>
      <c r="C48" s="880"/>
      <c r="D48" s="880"/>
      <c r="E48" s="880"/>
      <c r="F48" s="881"/>
    </row>
    <row r="49" spans="1:8" ht="13.5" thickBot="1" x14ac:dyDescent="0.25"/>
    <row r="50" spans="1:8" ht="41.25" customHeight="1" x14ac:dyDescent="0.2">
      <c r="A50" s="1096" t="s">
        <v>487</v>
      </c>
      <c r="B50" s="1097"/>
      <c r="C50" s="1098"/>
      <c r="D50" s="843"/>
      <c r="E50" s="844"/>
      <c r="F50" s="845"/>
      <c r="G50" s="844"/>
      <c r="H50" s="844"/>
    </row>
    <row r="51" spans="1:8" x14ac:dyDescent="0.2">
      <c r="A51" s="846" t="s">
        <v>245</v>
      </c>
      <c r="B51" s="847">
        <f>E47</f>
        <v>14.6</v>
      </c>
      <c r="C51" s="848"/>
      <c r="D51" s="844"/>
      <c r="E51" s="844"/>
      <c r="F51" s="845"/>
      <c r="G51" s="844"/>
      <c r="H51" s="844"/>
    </row>
    <row r="52" spans="1:8" x14ac:dyDescent="0.2">
      <c r="A52" s="846" t="s">
        <v>246</v>
      </c>
      <c r="B52" s="849">
        <f>8*5*13/3*12</f>
        <v>2080</v>
      </c>
      <c r="C52" s="848" t="s">
        <v>247</v>
      </c>
      <c r="D52" s="844"/>
      <c r="E52" s="844"/>
      <c r="F52" s="845"/>
      <c r="G52" s="844"/>
      <c r="H52" s="844"/>
    </row>
    <row r="53" spans="1:8" x14ac:dyDescent="0.2">
      <c r="A53" s="846" t="s">
        <v>248</v>
      </c>
      <c r="B53" s="850">
        <f>B52*B51</f>
        <v>30368</v>
      </c>
      <c r="C53" s="848"/>
      <c r="D53" s="844"/>
      <c r="E53" s="844"/>
      <c r="F53" s="845"/>
      <c r="G53" s="844"/>
      <c r="H53" s="844"/>
    </row>
    <row r="54" spans="1:8" x14ac:dyDescent="0.2">
      <c r="A54" s="846" t="s">
        <v>249</v>
      </c>
      <c r="B54" s="850">
        <f>B53*C54</f>
        <v>6480.5311999999994</v>
      </c>
      <c r="C54" s="851">
        <f>MAX('B_KZP_Berechnung rüE'!$H$13,C37)</f>
        <v>0.21339999999999998</v>
      </c>
      <c r="D54" s="844"/>
      <c r="E54" s="850"/>
      <c r="F54" s="845"/>
      <c r="G54" s="844"/>
      <c r="H54" s="844"/>
    </row>
    <row r="55" spans="1:8" x14ac:dyDescent="0.2">
      <c r="A55" s="852" t="s">
        <v>250</v>
      </c>
      <c r="B55" s="853">
        <f>B53+B54</f>
        <v>36848.531199999998</v>
      </c>
      <c r="C55" s="854" t="s">
        <v>251</v>
      </c>
      <c r="D55" s="844"/>
      <c r="E55" s="844"/>
      <c r="F55" s="845"/>
      <c r="G55" s="844"/>
      <c r="H55" s="844"/>
    </row>
    <row r="56" spans="1:8" x14ac:dyDescent="0.2">
      <c r="A56" s="846" t="s">
        <v>252</v>
      </c>
      <c r="B56" s="850">
        <f>B53*C56</f>
        <v>1563.952</v>
      </c>
      <c r="C56" s="855">
        <f>KAT!E22</f>
        <v>5.1499999999999997E-2</v>
      </c>
      <c r="D56" s="844"/>
      <c r="E56" s="844"/>
      <c r="F56" s="845"/>
      <c r="G56" s="844"/>
      <c r="H56" s="844"/>
    </row>
    <row r="57" spans="1:8" ht="38.25" x14ac:dyDescent="0.2">
      <c r="A57" s="856" t="s">
        <v>250</v>
      </c>
      <c r="B57" s="857">
        <f>B53+B54+B56</f>
        <v>38412.483199999995</v>
      </c>
      <c r="C57" s="858" t="s">
        <v>253</v>
      </c>
      <c r="D57" s="844"/>
      <c r="E57" s="844"/>
      <c r="F57" s="845"/>
      <c r="G57" s="844"/>
      <c r="H57" s="844"/>
    </row>
    <row r="58" spans="1:8" x14ac:dyDescent="0.2">
      <c r="A58" s="846" t="s">
        <v>254</v>
      </c>
      <c r="B58" s="850">
        <f>B57/12</f>
        <v>3201.0402666666664</v>
      </c>
      <c r="C58" s="859"/>
      <c r="D58" s="844"/>
      <c r="E58" s="844"/>
      <c r="F58" s="845"/>
      <c r="G58" s="844"/>
      <c r="H58" s="844"/>
    </row>
    <row r="59" spans="1:8" ht="13.5" thickBot="1" x14ac:dyDescent="0.25">
      <c r="A59" s="860" t="s">
        <v>250</v>
      </c>
      <c r="B59" s="861">
        <f>B57+B58</f>
        <v>41613.523466666658</v>
      </c>
      <c r="C59" s="862"/>
      <c r="D59" s="844"/>
      <c r="E59" s="844"/>
      <c r="F59" s="845"/>
      <c r="G59" s="844"/>
      <c r="H59" s="844"/>
    </row>
    <row r="60" spans="1:8" ht="26.25" thickBot="1" x14ac:dyDescent="0.25">
      <c r="A60" s="863" t="s">
        <v>258</v>
      </c>
      <c r="B60" s="864">
        <f>B59*102%*102%</f>
        <v>43294.709814719994</v>
      </c>
      <c r="C60" s="865">
        <f>ROUND(B60,-2)</f>
        <v>43300</v>
      </c>
      <c r="D60" s="866" t="s">
        <v>259</v>
      </c>
      <c r="E60" s="867">
        <f>C60+0.009</f>
        <v>43300.008999999998</v>
      </c>
      <c r="F60" s="868" t="s">
        <v>447</v>
      </c>
      <c r="G60" s="844"/>
      <c r="H60" s="844"/>
    </row>
    <row r="61" spans="1:8" x14ac:dyDescent="0.2">
      <c r="F61" s="460"/>
    </row>
    <row r="63" spans="1:8" ht="15" x14ac:dyDescent="0.25">
      <c r="A63" s="120" t="s">
        <v>457</v>
      </c>
      <c r="B63" s="446"/>
      <c r="C63" s="446"/>
      <c r="D63" s="446"/>
      <c r="E63" s="446"/>
      <c r="F63" s="446"/>
      <c r="G63" s="447"/>
    </row>
    <row r="64" spans="1:8" x14ac:dyDescent="0.2">
      <c r="A64" s="448"/>
      <c r="G64" s="449"/>
    </row>
    <row r="65" spans="1:9" x14ac:dyDescent="0.2">
      <c r="A65" s="448"/>
      <c r="B65" s="1084" t="s">
        <v>452</v>
      </c>
      <c r="C65" s="1084"/>
      <c r="E65" s="1085" t="s">
        <v>453</v>
      </c>
      <c r="F65" s="1085"/>
      <c r="G65" s="449"/>
    </row>
    <row r="66" spans="1:9" ht="25.5" x14ac:dyDescent="0.2">
      <c r="A66" s="448"/>
      <c r="B66" s="763" t="s">
        <v>448</v>
      </c>
      <c r="C66" s="764" t="s">
        <v>454</v>
      </c>
      <c r="E66" s="764" t="s">
        <v>448</v>
      </c>
      <c r="F66" s="764" t="s">
        <v>454</v>
      </c>
      <c r="G66" s="449"/>
    </row>
    <row r="67" spans="1:9" x14ac:dyDescent="0.2">
      <c r="A67" s="766" t="s">
        <v>435</v>
      </c>
      <c r="B67" s="767">
        <f>B_KZP_Kalkulation!C23</f>
        <v>0</v>
      </c>
      <c r="C67" s="765">
        <f>B_KZP_Kalkulation!F23</f>
        <v>0</v>
      </c>
      <c r="E67" s="767">
        <f>IFERROR(1/(IFERROR(1/B67,0)+IFERROR(1/B68,0)),0)</f>
        <v>0</v>
      </c>
      <c r="F67" s="765">
        <f>IFERROR((IFERROR(C67/B67,0)+IFERROR(C68/B68,0))*E67,0)</f>
        <v>0</v>
      </c>
      <c r="G67" s="449"/>
    </row>
    <row r="68" spans="1:9" x14ac:dyDescent="0.2">
      <c r="A68" s="766" t="s">
        <v>450</v>
      </c>
      <c r="B68" s="767">
        <f>B_KZP_Kalkulation!C24</f>
        <v>0</v>
      </c>
      <c r="C68" s="765">
        <f>B_KZP_Kalkulation!F24</f>
        <v>0</v>
      </c>
      <c r="G68" s="449"/>
    </row>
    <row r="69" spans="1:9" x14ac:dyDescent="0.2">
      <c r="A69" s="448"/>
      <c r="G69" s="449"/>
    </row>
    <row r="70" spans="1:9" ht="15" x14ac:dyDescent="0.25">
      <c r="A70" s="789" t="s">
        <v>451</v>
      </c>
      <c r="G70" s="449"/>
    </row>
    <row r="71" spans="1:9" x14ac:dyDescent="0.2">
      <c r="A71" s="448"/>
      <c r="G71" s="449"/>
    </row>
    <row r="72" spans="1:9" x14ac:dyDescent="0.2">
      <c r="A72" s="448"/>
      <c r="B72" s="1084" t="s">
        <v>452</v>
      </c>
      <c r="C72" s="1084"/>
      <c r="E72" s="1085" t="s">
        <v>453</v>
      </c>
      <c r="F72" s="1085"/>
      <c r="G72" s="449"/>
    </row>
    <row r="73" spans="1:9" ht="25.5" x14ac:dyDescent="0.2">
      <c r="A73" s="448"/>
      <c r="B73" s="763" t="s">
        <v>448</v>
      </c>
      <c r="C73" s="764" t="s">
        <v>454</v>
      </c>
      <c r="E73" s="764" t="s">
        <v>448</v>
      </c>
      <c r="F73" s="764" t="s">
        <v>454</v>
      </c>
      <c r="G73" s="449"/>
    </row>
    <row r="74" spans="1:9" x14ac:dyDescent="0.2">
      <c r="A74" s="766" t="s">
        <v>51</v>
      </c>
      <c r="B74" s="767">
        <f>B_KZP_Kalkulation!C27</f>
        <v>0</v>
      </c>
      <c r="C74" s="765">
        <f>B_KZP_Kalkulation!F27</f>
        <v>0</v>
      </c>
      <c r="E74" s="767">
        <f>IFERROR(1/(IFERROR(1/B74,0)+IFERROR(1/B75,0)+IFERROR(1/B76,0)),0)</f>
        <v>0</v>
      </c>
      <c r="F74" s="765">
        <f>IFERROR((IFERROR(C74/B74,0)+IFERROR(C75/B75,0)+IFERROR(C76/B76,0))*E74,0)</f>
        <v>0</v>
      </c>
      <c r="G74" s="449"/>
      <c r="I74" s="459"/>
    </row>
    <row r="75" spans="1:9" x14ac:dyDescent="0.2">
      <c r="A75" s="766" t="s">
        <v>28</v>
      </c>
      <c r="B75" s="767">
        <f>B_KZP_Kalkulation!C28</f>
        <v>0</v>
      </c>
      <c r="C75" s="765">
        <f>B_KZP_Kalkulation!F28</f>
        <v>0</v>
      </c>
      <c r="G75" s="449"/>
    </row>
    <row r="76" spans="1:9" x14ac:dyDescent="0.2">
      <c r="A76" s="766" t="s">
        <v>29</v>
      </c>
      <c r="B76" s="767">
        <f>B_KZP_Kalkulation!C29</f>
        <v>0</v>
      </c>
      <c r="C76" s="765">
        <f>B_KZP_Kalkulation!F29</f>
        <v>0</v>
      </c>
      <c r="G76" s="449"/>
    </row>
    <row r="77" spans="1:9" x14ac:dyDescent="0.2">
      <c r="A77" s="790"/>
      <c r="B77" s="791"/>
      <c r="C77" s="792"/>
      <c r="D77" s="451"/>
      <c r="E77" s="451"/>
      <c r="F77" s="451"/>
      <c r="G77" s="452"/>
    </row>
    <row r="79" spans="1:9" x14ac:dyDescent="0.2">
      <c r="A79" s="98" t="s">
        <v>315</v>
      </c>
      <c r="B79" s="446"/>
      <c r="C79" s="446"/>
      <c r="D79" s="446"/>
      <c r="E79" s="446"/>
      <c r="F79" s="447"/>
    </row>
    <row r="80" spans="1:9" x14ac:dyDescent="0.2">
      <c r="A80" s="505" t="s">
        <v>97</v>
      </c>
      <c r="B80" s="443" t="s">
        <v>316</v>
      </c>
      <c r="F80" s="449"/>
    </row>
    <row r="81" spans="1:6" x14ac:dyDescent="0.2">
      <c r="A81" s="450"/>
      <c r="B81" s="451"/>
      <c r="C81" s="451"/>
      <c r="D81" s="451"/>
      <c r="E81" s="451"/>
      <c r="F81" s="452"/>
    </row>
  </sheetData>
  <sheetProtection algorithmName="SHA-512" hashValue="UfzmN4zPK30K6j3+03GVlPmvMBdGmntislMibiq87sctmgY2v/AFulTop/f4nSUnMqm//udyHPM50YNKgSCt5g==" saltValue="OotPOfAWwvp9k4hqG6kbVQ==" spinCount="100000" sheet="1" objects="1" scenarios="1" selectLockedCells="1"/>
  <customSheetViews>
    <customSheetView guid="{9119B1A0-FD79-4FE4-B78E-10E0AEB8080B}" state="hidden" topLeftCell="A86">
      <selection activeCell="N94" sqref="N94"/>
      <pageMargins left="0.7" right="0.7" top="0.78740157499999996" bottom="0.78740157499999996" header="0.3" footer="0.3"/>
      <pageSetup paperSize="9" orientation="portrait"/>
    </customSheetView>
  </customSheetViews>
  <mergeCells count="11">
    <mergeCell ref="B20:C20"/>
    <mergeCell ref="E20:F20"/>
    <mergeCell ref="A50:C50"/>
    <mergeCell ref="A37:B37"/>
    <mergeCell ref="A38:B38"/>
    <mergeCell ref="B72:C72"/>
    <mergeCell ref="E72:F72"/>
    <mergeCell ref="B65:C65"/>
    <mergeCell ref="E65:F65"/>
    <mergeCell ref="B27:D27"/>
    <mergeCell ref="F27:L27"/>
  </mergeCells>
  <phoneticPr fontId="60" type="noConversion"/>
  <dataValidations count="1">
    <dataValidation type="list" allowBlank="1" showInputMessage="1" showErrorMessage="1" sqref="A80" xr:uid="{00000000-0002-0000-0100-000000000000}">
      <formula1>"ja,nein"</formula1>
    </dataValidation>
  </dataValidations>
  <pageMargins left="0.70866141732283472" right="0.70866141732283472" top="0.78740157480314965" bottom="0.78740157480314965" header="0.31496062992125984" footer="0.31496062992125984"/>
  <pageSetup paperSize="9" orientation="portrait"/>
  <headerFooter>
    <oddHeader>&amp;C&amp;A</oddHeader>
    <oddFooter xml:space="preserve">&amp;C
&amp;1#&amp;"Calibri,Standard"&amp;10&amp;K000000 </oddFooter>
  </headerFooter>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79998168889431442"/>
  </sheetPr>
  <dimension ref="A1:P52"/>
  <sheetViews>
    <sheetView showGridLines="0" tabSelected="1" showWhiteSpace="0" zoomScaleNormal="100" workbookViewId="0">
      <selection sqref="A1:G2"/>
    </sheetView>
  </sheetViews>
  <sheetFormatPr baseColWidth="10" defaultRowHeight="14.25" x14ac:dyDescent="0.2"/>
  <cols>
    <col min="1" max="1" width="3.875" customWidth="1"/>
    <col min="2" max="2" width="18" customWidth="1"/>
    <col min="3" max="3" width="7.125" customWidth="1"/>
    <col min="4" max="4" width="0.75" customWidth="1"/>
    <col min="5" max="5" width="15.875" customWidth="1"/>
    <col min="6" max="6" width="19.75" customWidth="1"/>
    <col min="7" max="7" width="13.5" customWidth="1"/>
    <col min="8" max="16" width="11" style="127"/>
  </cols>
  <sheetData>
    <row r="1" spans="1:8" ht="14.25" customHeight="1" x14ac:dyDescent="0.2">
      <c r="A1" s="1056" t="s">
        <v>518</v>
      </c>
      <c r="B1" s="1057"/>
      <c r="C1" s="1057"/>
      <c r="D1" s="1057"/>
      <c r="E1" s="1057"/>
      <c r="F1" s="1057"/>
      <c r="G1" s="1058"/>
    </row>
    <row r="2" spans="1:8" ht="35.25" customHeight="1" x14ac:dyDescent="0.2">
      <c r="A2" s="1059"/>
      <c r="B2" s="1060"/>
      <c r="C2" s="1060"/>
      <c r="D2" s="1060"/>
      <c r="E2" s="1060"/>
      <c r="F2" s="1060"/>
      <c r="G2" s="1061"/>
    </row>
    <row r="3" spans="1:8" ht="6" customHeight="1" x14ac:dyDescent="0.2">
      <c r="A3" s="193"/>
      <c r="B3" s="193"/>
      <c r="C3" s="193"/>
      <c r="D3" s="193"/>
      <c r="E3" s="193"/>
      <c r="F3" s="193"/>
      <c r="G3" s="193"/>
    </row>
    <row r="4" spans="1:8" ht="45" customHeight="1" x14ac:dyDescent="0.2">
      <c r="A4" s="1062" t="s">
        <v>561</v>
      </c>
      <c r="B4" s="1053"/>
      <c r="C4" s="1053"/>
      <c r="D4" s="1053"/>
      <c r="E4" s="1053"/>
      <c r="F4" s="1053"/>
      <c r="G4" s="1053"/>
      <c r="H4" s="952"/>
    </row>
    <row r="5" spans="1:8" ht="14.25" customHeight="1" x14ac:dyDescent="0.2">
      <c r="A5" s="170"/>
      <c r="B5" s="170"/>
      <c r="C5" s="170"/>
      <c r="D5" s="170"/>
      <c r="E5" s="170"/>
      <c r="F5" s="170"/>
      <c r="G5" s="170"/>
      <c r="H5" s="952"/>
    </row>
    <row r="6" spans="1:8" ht="15" x14ac:dyDescent="0.25">
      <c r="A6" s="1077" t="s">
        <v>519</v>
      </c>
      <c r="B6" s="1066"/>
      <c r="C6" s="1066"/>
      <c r="D6" s="1066"/>
      <c r="E6" s="1066"/>
      <c r="F6" s="1066"/>
      <c r="G6" s="1066"/>
    </row>
    <row r="7" spans="1:8" x14ac:dyDescent="0.2">
      <c r="A7" s="1055" t="s">
        <v>553</v>
      </c>
      <c r="B7" s="1055"/>
      <c r="C7" s="1055"/>
      <c r="D7" s="1055"/>
      <c r="E7" s="1055"/>
      <c r="F7" s="1055"/>
      <c r="G7" s="1055"/>
    </row>
    <row r="8" spans="1:8" x14ac:dyDescent="0.2">
      <c r="A8" s="1055" t="s">
        <v>520</v>
      </c>
      <c r="B8" s="1055"/>
      <c r="C8" s="1055"/>
      <c r="D8" s="1055"/>
      <c r="E8" s="1055"/>
      <c r="F8" s="1055"/>
      <c r="G8" s="1055"/>
    </row>
    <row r="9" spans="1:8" x14ac:dyDescent="0.2">
      <c r="A9" s="1055" t="s">
        <v>554</v>
      </c>
      <c r="B9" s="1055"/>
      <c r="C9" s="1055"/>
      <c r="D9" s="1055"/>
      <c r="E9" s="1055"/>
      <c r="F9" s="1055"/>
      <c r="G9" s="1055"/>
    </row>
    <row r="10" spans="1:8" x14ac:dyDescent="0.2">
      <c r="A10" s="1055" t="s">
        <v>555</v>
      </c>
      <c r="B10" s="1055"/>
      <c r="C10" s="1055"/>
      <c r="D10" s="1055"/>
      <c r="E10" s="1055"/>
      <c r="F10" s="1055"/>
      <c r="G10" s="1055"/>
    </row>
    <row r="11" spans="1:8" x14ac:dyDescent="0.2">
      <c r="A11" s="1055" t="s">
        <v>556</v>
      </c>
      <c r="B11" s="1055"/>
      <c r="C11" s="1055"/>
      <c r="D11" s="1055"/>
      <c r="E11" s="1055"/>
      <c r="F11" s="1055"/>
      <c r="G11" s="1055"/>
    </row>
    <row r="12" spans="1:8" x14ac:dyDescent="0.2">
      <c r="A12" s="1055" t="s">
        <v>557</v>
      </c>
      <c r="B12" s="1055"/>
      <c r="C12" s="1055"/>
      <c r="D12" s="1055"/>
      <c r="E12" s="1055"/>
      <c r="F12" s="1055"/>
      <c r="G12" s="1055"/>
    </row>
    <row r="13" spans="1:8" x14ac:dyDescent="0.2">
      <c r="A13" s="1055" t="s">
        <v>558</v>
      </c>
      <c r="B13" s="1055"/>
      <c r="C13" s="1055"/>
      <c r="D13" s="1055"/>
      <c r="E13" s="1055"/>
      <c r="F13" s="1055"/>
      <c r="G13" s="1055"/>
    </row>
    <row r="14" spans="1:8" ht="6.75" customHeight="1" x14ac:dyDescent="0.2"/>
    <row r="15" spans="1:8" ht="409.5" customHeight="1" x14ac:dyDescent="0.2">
      <c r="A15" s="1053" t="s">
        <v>552</v>
      </c>
      <c r="B15" s="1054"/>
      <c r="C15" s="1054"/>
      <c r="D15" s="1054"/>
      <c r="E15" s="1054"/>
      <c r="F15" s="1054"/>
      <c r="G15" s="1054"/>
      <c r="H15" s="1079" t="s">
        <v>559</v>
      </c>
    </row>
    <row r="16" spans="1:8" ht="191.25" customHeight="1" x14ac:dyDescent="0.2">
      <c r="A16" s="1063" t="s">
        <v>560</v>
      </c>
      <c r="B16" s="1064"/>
      <c r="C16" s="1064"/>
      <c r="D16" s="1064"/>
      <c r="E16" s="1064"/>
      <c r="F16" s="1064"/>
      <c r="G16" s="1064"/>
      <c r="H16" s="1079"/>
    </row>
    <row r="18" spans="1:8" ht="48.75" customHeight="1" x14ac:dyDescent="0.2">
      <c r="A18" s="1065" t="s">
        <v>521</v>
      </c>
      <c r="B18" s="1066"/>
      <c r="C18" s="1066"/>
      <c r="D18" s="1066"/>
      <c r="E18" s="1066"/>
      <c r="F18" s="1066"/>
      <c r="G18" s="1066"/>
      <c r="H18" s="953" t="s">
        <v>559</v>
      </c>
    </row>
    <row r="20" spans="1:8" ht="252" customHeight="1" x14ac:dyDescent="0.2">
      <c r="A20" s="1063" t="s">
        <v>522</v>
      </c>
      <c r="B20" s="1064"/>
      <c r="C20" s="1064"/>
      <c r="D20" s="1064"/>
      <c r="E20" s="1064"/>
      <c r="F20" s="1064"/>
      <c r="G20" s="1064"/>
      <c r="H20" s="954" t="s">
        <v>559</v>
      </c>
    </row>
    <row r="22" spans="1:8" ht="392.25" customHeight="1" x14ac:dyDescent="0.2">
      <c r="A22" s="1053" t="s">
        <v>523</v>
      </c>
      <c r="B22" s="1054"/>
      <c r="C22" s="1054"/>
      <c r="D22" s="1054"/>
      <c r="E22" s="1054"/>
      <c r="F22" s="1054"/>
      <c r="G22" s="1054"/>
      <c r="H22" s="1078" t="s">
        <v>559</v>
      </c>
    </row>
    <row r="23" spans="1:8" ht="63" customHeight="1" x14ac:dyDescent="0.2">
      <c r="A23" s="1053" t="s">
        <v>524</v>
      </c>
      <c r="B23" s="1054"/>
      <c r="C23" s="1054"/>
      <c r="D23" s="1054"/>
      <c r="E23" s="1054"/>
      <c r="F23" s="1054"/>
      <c r="G23" s="1054"/>
      <c r="H23" s="1078"/>
    </row>
    <row r="24" spans="1:8" ht="351.75" customHeight="1" x14ac:dyDescent="0.2">
      <c r="A24" s="1053" t="s">
        <v>525</v>
      </c>
      <c r="B24" s="1054"/>
      <c r="C24" s="1054"/>
      <c r="D24" s="1054"/>
      <c r="E24" s="1054"/>
      <c r="F24" s="1054"/>
      <c r="G24" s="1054"/>
      <c r="H24" s="1078"/>
    </row>
    <row r="25" spans="1:8" ht="250.5" customHeight="1" x14ac:dyDescent="0.2">
      <c r="A25" s="1053" t="s">
        <v>526</v>
      </c>
      <c r="B25" s="1054"/>
      <c r="C25" s="1054"/>
      <c r="D25" s="1054"/>
      <c r="E25" s="1054"/>
      <c r="F25" s="1054"/>
      <c r="G25" s="1054"/>
      <c r="H25" s="1078"/>
    </row>
    <row r="26" spans="1:8" ht="54" customHeight="1" x14ac:dyDescent="0.2">
      <c r="B26" s="1071"/>
      <c r="C26" s="1072"/>
      <c r="D26" s="1073"/>
      <c r="E26" s="948" t="s">
        <v>527</v>
      </c>
      <c r="F26" s="948" t="s">
        <v>528</v>
      </c>
      <c r="H26" s="1078"/>
    </row>
    <row r="27" spans="1:8" x14ac:dyDescent="0.2">
      <c r="B27" s="1074" t="s">
        <v>322</v>
      </c>
      <c r="C27" s="1075"/>
      <c r="D27" s="1076"/>
      <c r="E27" s="949" t="s">
        <v>529</v>
      </c>
      <c r="F27" s="949" t="s">
        <v>530</v>
      </c>
      <c r="H27" s="1078"/>
    </row>
    <row r="28" spans="1:8" ht="39.950000000000003" customHeight="1" x14ac:dyDescent="0.2">
      <c r="B28" s="1074" t="s">
        <v>531</v>
      </c>
      <c r="C28" s="1075"/>
      <c r="D28" s="1076"/>
      <c r="E28" s="949" t="s">
        <v>529</v>
      </c>
      <c r="F28" s="949" t="s">
        <v>530</v>
      </c>
      <c r="H28" s="1078"/>
    </row>
    <row r="29" spans="1:8" x14ac:dyDescent="0.2">
      <c r="B29" s="1074" t="s">
        <v>425</v>
      </c>
      <c r="C29" s="1075"/>
      <c r="D29" s="1076"/>
      <c r="E29" s="949" t="s">
        <v>529</v>
      </c>
      <c r="F29" s="949" t="s">
        <v>532</v>
      </c>
      <c r="H29" s="1078"/>
    </row>
    <row r="30" spans="1:8" ht="34.5" customHeight="1" x14ac:dyDescent="0.2">
      <c r="B30" s="950" t="s">
        <v>411</v>
      </c>
      <c r="C30" s="95"/>
      <c r="D30" s="100"/>
      <c r="E30" s="949" t="s">
        <v>529</v>
      </c>
      <c r="F30" s="949" t="s">
        <v>530</v>
      </c>
      <c r="H30" s="1078"/>
    </row>
    <row r="31" spans="1:8" ht="26.25" customHeight="1" x14ac:dyDescent="0.2">
      <c r="B31" s="950" t="s">
        <v>533</v>
      </c>
      <c r="C31" s="95"/>
      <c r="D31" s="100"/>
      <c r="E31" s="949" t="s">
        <v>534</v>
      </c>
      <c r="F31" s="949" t="s">
        <v>534</v>
      </c>
      <c r="H31" s="1078"/>
    </row>
    <row r="32" spans="1:8" x14ac:dyDescent="0.2">
      <c r="H32" s="1078"/>
    </row>
    <row r="33" spans="1:8" ht="100.5" customHeight="1" x14ac:dyDescent="0.2">
      <c r="A33" s="1065" t="s">
        <v>535</v>
      </c>
      <c r="B33" s="1066"/>
      <c r="C33" s="1066"/>
      <c r="D33" s="1066"/>
      <c r="E33" s="1066"/>
      <c r="F33" s="1066"/>
      <c r="G33" s="1066"/>
      <c r="H33" s="1078"/>
    </row>
    <row r="34" spans="1:8" x14ac:dyDescent="0.2">
      <c r="H34" s="1078"/>
    </row>
    <row r="35" spans="1:8" ht="60" customHeight="1" x14ac:dyDescent="0.2">
      <c r="B35" s="1070" t="s">
        <v>542</v>
      </c>
      <c r="C35" s="1067"/>
      <c r="D35" s="1068"/>
      <c r="E35" s="1068"/>
      <c r="F35" s="1068"/>
      <c r="H35" s="1078"/>
    </row>
    <row r="36" spans="1:8" ht="37.5" customHeight="1" x14ac:dyDescent="0.2">
      <c r="B36" s="1067" t="s">
        <v>536</v>
      </c>
      <c r="C36" s="1068"/>
      <c r="D36" s="1068"/>
      <c r="E36" s="1068"/>
      <c r="F36" s="949" t="s">
        <v>537</v>
      </c>
      <c r="H36" s="1078"/>
    </row>
    <row r="37" spans="1:8" ht="38.25" customHeight="1" x14ac:dyDescent="0.2">
      <c r="B37" s="1067" t="s">
        <v>538</v>
      </c>
      <c r="C37" s="1068"/>
      <c r="D37" s="1068"/>
      <c r="E37" s="1068"/>
      <c r="F37" s="949" t="s">
        <v>539</v>
      </c>
      <c r="H37" s="1078"/>
    </row>
    <row r="38" spans="1:8" ht="31.5" customHeight="1" x14ac:dyDescent="0.2">
      <c r="B38" s="1067" t="s">
        <v>540</v>
      </c>
      <c r="C38" s="1068"/>
      <c r="D38" s="1068"/>
      <c r="E38" s="1068"/>
      <c r="F38" s="949" t="s">
        <v>541</v>
      </c>
      <c r="H38" s="1078"/>
    </row>
    <row r="39" spans="1:8" x14ac:dyDescent="0.2">
      <c r="B39" s="1069"/>
      <c r="C39" s="1069"/>
      <c r="D39" s="1068"/>
      <c r="E39" s="1068"/>
      <c r="F39" s="1068"/>
      <c r="H39" s="1078"/>
    </row>
    <row r="40" spans="1:8" ht="66.75" customHeight="1" x14ac:dyDescent="0.2">
      <c r="B40" s="1070" t="s">
        <v>543</v>
      </c>
      <c r="C40" s="1067"/>
      <c r="D40" s="1068"/>
      <c r="E40" s="1068"/>
      <c r="F40" s="1068"/>
      <c r="H40" s="1078"/>
    </row>
    <row r="41" spans="1:8" ht="34.5" customHeight="1" x14ac:dyDescent="0.2">
      <c r="B41" s="1070" t="s">
        <v>544</v>
      </c>
      <c r="C41" s="1068"/>
      <c r="D41" s="1068"/>
      <c r="E41" s="1068"/>
      <c r="F41" s="951">
        <v>0.23</v>
      </c>
      <c r="H41" s="1078"/>
    </row>
    <row r="42" spans="1:8" ht="33.75" customHeight="1" x14ac:dyDescent="0.2">
      <c r="B42" s="1070" t="s">
        <v>545</v>
      </c>
      <c r="C42" s="1068"/>
      <c r="D42" s="1068"/>
      <c r="E42" s="1068"/>
      <c r="F42" s="951">
        <v>0.3</v>
      </c>
      <c r="H42" s="1078"/>
    </row>
    <row r="43" spans="1:8" ht="44.25" customHeight="1" x14ac:dyDescent="0.2">
      <c r="B43" s="1070" t="s">
        <v>546</v>
      </c>
      <c r="C43" s="1068"/>
      <c r="D43" s="1068"/>
      <c r="E43" s="1068"/>
      <c r="F43" s="951">
        <v>0.35</v>
      </c>
      <c r="H43" s="1078"/>
    </row>
    <row r="44" spans="1:8" ht="45" customHeight="1" x14ac:dyDescent="0.2">
      <c r="B44" s="1070" t="s">
        <v>547</v>
      </c>
      <c r="C44" s="1068"/>
      <c r="D44" s="1068"/>
      <c r="E44" s="1068"/>
      <c r="F44" s="951">
        <v>1.33</v>
      </c>
      <c r="H44" s="1078"/>
    </row>
    <row r="45" spans="1:8" x14ac:dyDescent="0.2">
      <c r="H45" s="1078"/>
    </row>
    <row r="46" spans="1:8" ht="181.5" customHeight="1" x14ac:dyDescent="0.2">
      <c r="A46" s="1053" t="s">
        <v>548</v>
      </c>
      <c r="B46" s="1054"/>
      <c r="C46" s="1054"/>
      <c r="D46" s="1054"/>
      <c r="E46" s="1054"/>
      <c r="F46" s="1054"/>
      <c r="G46" s="1054"/>
      <c r="H46" s="1078"/>
    </row>
    <row r="48" spans="1:8" ht="47.25" customHeight="1" x14ac:dyDescent="0.2">
      <c r="A48" s="1053" t="s">
        <v>549</v>
      </c>
      <c r="B48" s="1054"/>
      <c r="C48" s="1054"/>
      <c r="D48" s="1054"/>
      <c r="E48" s="1054"/>
      <c r="F48" s="1054"/>
      <c r="G48" s="1054"/>
      <c r="H48" s="955" t="s">
        <v>559</v>
      </c>
    </row>
    <row r="50" spans="1:8" ht="121.5" customHeight="1" x14ac:dyDescent="0.2">
      <c r="A50" s="1053" t="s">
        <v>550</v>
      </c>
      <c r="B50" s="1054"/>
      <c r="C50" s="1054"/>
      <c r="D50" s="1054"/>
      <c r="E50" s="1054"/>
      <c r="F50" s="1054"/>
      <c r="G50" s="1054"/>
      <c r="H50" s="954" t="s">
        <v>559</v>
      </c>
    </row>
    <row r="52" spans="1:8" ht="64.5" customHeight="1" x14ac:dyDescent="0.2">
      <c r="A52" s="1053" t="s">
        <v>551</v>
      </c>
      <c r="B52" s="1054"/>
      <c r="C52" s="1054"/>
      <c r="D52" s="1054"/>
      <c r="E52" s="1054"/>
      <c r="F52" s="1054"/>
      <c r="G52" s="1054"/>
      <c r="H52" s="955" t="s">
        <v>559</v>
      </c>
    </row>
  </sheetData>
  <sheetProtection algorithmName="SHA-512" hashValue="Y6nbamTqmQybtPQcixXqW5aIoWJfklVf5C1hnNZVHbyhQAimcQmk80Nvn/NfXyNy71XGFHUQ99w39K1D7IbSAQ==" saltValue="FsUjBpJZsdZjmVOn+0zLRw==" spinCount="100000" sheet="1" objects="1" scenarios="1"/>
  <customSheetViews>
    <customSheetView guid="{9119B1A0-FD79-4FE4-B78E-10E0AEB8080B}" scale="130" showGridLines="0">
      <selection sqref="A1:G2"/>
      <pageMargins left="0.70866141732283472" right="0.70866141732283472" top="0.78740157480314965" bottom="0.78740157480314965" header="0.31496062992125984" footer="0.31496062992125984"/>
      <pageSetup paperSize="9" orientation="portrait"/>
      <headerFooter>
        <oddFooter xml:space="preserve">&amp;L&amp;8Version: 14.06.2022&amp;C&amp;8Verhandlungsunterlagen SGB XI (vereinfacht B1)&amp;R&amp;8PSK-Beschluss Nr. x-2022 vom xx </oddFooter>
      </headerFooter>
    </customSheetView>
  </customSheetViews>
  <mergeCells count="39">
    <mergeCell ref="A6:G6"/>
    <mergeCell ref="H22:H46"/>
    <mergeCell ref="H15:H16"/>
    <mergeCell ref="A7:G7"/>
    <mergeCell ref="A8:G8"/>
    <mergeCell ref="A9:G9"/>
    <mergeCell ref="A10:G10"/>
    <mergeCell ref="A11:G11"/>
    <mergeCell ref="A12:G12"/>
    <mergeCell ref="B41:E41"/>
    <mergeCell ref="B42:E42"/>
    <mergeCell ref="B43:E43"/>
    <mergeCell ref="B44:E44"/>
    <mergeCell ref="A46:G46"/>
    <mergeCell ref="B35:F35"/>
    <mergeCell ref="B36:E36"/>
    <mergeCell ref="B39:F39"/>
    <mergeCell ref="B40:F40"/>
    <mergeCell ref="B26:D26"/>
    <mergeCell ref="B28:D28"/>
    <mergeCell ref="B29:D29"/>
    <mergeCell ref="A33:G33"/>
    <mergeCell ref="B27:D27"/>
    <mergeCell ref="A48:G48"/>
    <mergeCell ref="A50:G50"/>
    <mergeCell ref="A52:G52"/>
    <mergeCell ref="A13:G13"/>
    <mergeCell ref="A1:G2"/>
    <mergeCell ref="A4:G4"/>
    <mergeCell ref="A15:G15"/>
    <mergeCell ref="A16:G16"/>
    <mergeCell ref="A18:G18"/>
    <mergeCell ref="A20:G20"/>
    <mergeCell ref="A22:G22"/>
    <mergeCell ref="A23:G23"/>
    <mergeCell ref="A24:G24"/>
    <mergeCell ref="A25:G25"/>
    <mergeCell ref="B37:E37"/>
    <mergeCell ref="B38:E38"/>
  </mergeCells>
  <hyperlinks>
    <hyperlink ref="A7:G7" location="B_KZP_Hinweise!A15" display="1. Allgemeine Hinweise" xr:uid="{0E21EE82-1014-4BEF-AE98-2B9F6B2721E4}"/>
    <hyperlink ref="H15:H16" location="B_KZP_Hinweise!A6" display="zurück" xr:uid="{C58B4D9F-0140-4ECA-A075-9A23E417219B}"/>
    <hyperlink ref="H18" location="B_KZP_Hinweise!A6" display="zurück" xr:uid="{C0D2E969-D87C-4BF2-8A4B-3DE4901ADE8C}"/>
    <hyperlink ref="H20" location="B_KZP_Hinweise!A6" display="zurück" xr:uid="{A84F47C4-ECF4-4E6E-998E-1B2498DE7F50}"/>
    <hyperlink ref="H22:H46" location="B_KZP_Hinweise!A6" display="zurück" xr:uid="{E5A992CE-7C66-4132-A97F-B0DD4655EFA9}"/>
    <hyperlink ref="H48" location="B_KZP_Hinweise!A6" display="zurück" xr:uid="{8CE81CC4-BCA3-48A9-981F-BAAC83A19102}"/>
    <hyperlink ref="H50" location="B_KZP_Hinweise!A6" display="zurück" xr:uid="{9B6C5C0C-10F1-4E4E-B9F9-6F808A4DEE06}"/>
    <hyperlink ref="H52" location="B_KZP_Hinweise!A6" display="zurück" xr:uid="{D7E2C16A-6132-4BB3-ABB3-CBCCC0834E0D}"/>
    <hyperlink ref="A8:G8" location="B_KZP_Hinweise!A18" display="2. Aufforderungsunterlagen" xr:uid="{2F7264AA-0F64-46E2-BAF4-09FB281980F0}"/>
    <hyperlink ref="A9:G9" location="B_KZP_Hinweise!A20" display="2.1. Allgemeine Angaben" xr:uid="{E773C7B3-9AF3-435A-9A5A-A1773ACCBD0F}"/>
    <hyperlink ref="A10:G10" location="B_KZP_Hinweise!A22" display="2.2. Kalkulation" xr:uid="{2E1740BF-C5B1-434A-A851-5AC4715B58D8}"/>
    <hyperlink ref="A11:G11" location="B_KZP_Hinweise!A48" display="2.3. Bewohnervertretung" xr:uid="{6490CD93-2D59-4382-B479-AE64056FB763}"/>
    <hyperlink ref="A12:G12" location="B_KZP_Hinweise!A50" display="2.4. Ergebnis" xr:uid="{E0917372-A939-4FFB-85CF-E894881E9003}"/>
    <hyperlink ref="A13:G13" location="B_KZP_Hinweise!A52" display="2.5. Gesamtkalkulation" xr:uid="{2E11153C-169A-4959-B49B-7229427E3755}"/>
  </hyperlinks>
  <pageMargins left="0.70866141732283472" right="0.70866141732283472" top="0.78740157480314965" bottom="0.78740157480314965" header="0.31496062992125984" footer="0.31496062992125984"/>
  <pageSetup paperSize="9" orientation="portrait"/>
  <headerFooter>
    <oddHeader>&amp;C&amp;9&amp;A Seite &amp;P</oddHeader>
    <oddFooter>&amp;L&amp;8Version: 19.10.2026&amp;C&amp;8Verhandlungsunterlagen SGB XI (vereinfacht B KZP)&amp;R&amp;8PSK-Beschluss vom 08.10.2026</oddFooter>
  </headerFooter>
  <rowBreaks count="1" manualBreakCount="1">
    <brk id="25" max="16383" man="1"/>
  </rowBreaks>
  <colBreaks count="1" manualBreakCount="1">
    <brk id="10" max="1048575" man="1"/>
  </colBreaks>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
    <pageSetUpPr fitToPage="1"/>
  </sheetPr>
  <dimension ref="A1:U80"/>
  <sheetViews>
    <sheetView showGridLines="0" zoomScaleNormal="100" workbookViewId="0">
      <selection activeCell="L4" sqref="L4:M4"/>
    </sheetView>
  </sheetViews>
  <sheetFormatPr baseColWidth="10" defaultRowHeight="14.25" x14ac:dyDescent="0.2"/>
  <cols>
    <col min="1" max="1" width="4.625" style="3" customWidth="1"/>
    <col min="2" max="2" width="2.375" style="3" customWidth="1"/>
    <col min="3" max="3" width="14.25" style="3" customWidth="1"/>
    <col min="4" max="4" width="10.625" style="3" customWidth="1"/>
    <col min="5" max="7" width="3.125" style="3" customWidth="1"/>
    <col min="8" max="8" width="11" style="3"/>
    <col min="9" max="10" width="2.375" style="3" customWidth="1"/>
    <col min="11" max="11" width="12.625" style="3" customWidth="1"/>
    <col min="12" max="12" width="7.625" style="3" customWidth="1"/>
    <col min="13" max="13" width="10.75" style="3" customWidth="1"/>
    <col min="14" max="14" width="4.625" style="3" customWidth="1"/>
    <col min="15" max="15" width="46.25" customWidth="1"/>
    <col min="16" max="20" width="11" style="3" customWidth="1"/>
    <col min="21" max="27" width="11" customWidth="1"/>
  </cols>
  <sheetData>
    <row r="1" spans="1:20" ht="52.5" customHeight="1" x14ac:dyDescent="0.2">
      <c r="A1" s="1124" t="s">
        <v>394</v>
      </c>
      <c r="B1" s="1125"/>
      <c r="C1" s="1125"/>
      <c r="D1" s="1125"/>
      <c r="E1" s="1125"/>
      <c r="F1" s="1125"/>
      <c r="G1" s="1125"/>
      <c r="H1" s="1125"/>
      <c r="I1" s="1125"/>
      <c r="J1" s="1125"/>
      <c r="K1" s="1125"/>
      <c r="L1" s="1125"/>
      <c r="M1" s="1125"/>
      <c r="N1" s="1126"/>
      <c r="O1" s="211"/>
      <c r="P1"/>
      <c r="Q1" s="96"/>
      <c r="R1" s="212"/>
      <c r="S1" s="213"/>
      <c r="T1"/>
    </row>
    <row r="2" spans="1:20" ht="15" customHeight="1" x14ac:dyDescent="0.25">
      <c r="A2" s="1127" t="s">
        <v>0</v>
      </c>
      <c r="B2" s="1128"/>
      <c r="C2" s="1128"/>
      <c r="D2" s="1128"/>
      <c r="E2" s="1128"/>
      <c r="F2" s="1128"/>
      <c r="G2" s="1128"/>
      <c r="H2" s="1128"/>
      <c r="I2" s="1128"/>
      <c r="J2" s="1128"/>
      <c r="K2" s="1128"/>
      <c r="L2" s="1128"/>
      <c r="M2" s="1128"/>
      <c r="N2" s="1129"/>
      <c r="O2" s="214"/>
      <c r="P2"/>
      <c r="Q2"/>
      <c r="R2"/>
      <c r="S2"/>
      <c r="T2"/>
    </row>
    <row r="3" spans="1:20" ht="15" x14ac:dyDescent="0.25">
      <c r="A3" s="1127" t="str">
        <f>IF('B_KZP_Allgemeine Angaben'!D12&gt;0,CONCATENATE(D12,", ",'B_KZP_Allgemeine Angaben'!D16," ",'B_KZP_Allgemeine Angaben'!J16),"")</f>
        <v/>
      </c>
      <c r="B3" s="1128"/>
      <c r="C3" s="1128"/>
      <c r="D3" s="1128"/>
      <c r="E3" s="1128"/>
      <c r="F3" s="1128"/>
      <c r="G3" s="1128"/>
      <c r="H3" s="1128"/>
      <c r="I3" s="1128"/>
      <c r="J3" s="1128"/>
      <c r="K3" s="1128"/>
      <c r="L3" s="1128"/>
      <c r="M3" s="1128"/>
      <c r="N3" s="1129"/>
      <c r="O3" s="37"/>
      <c r="P3"/>
      <c r="Q3"/>
      <c r="R3"/>
      <c r="S3"/>
      <c r="T3"/>
    </row>
    <row r="4" spans="1:20" x14ac:dyDescent="0.2">
      <c r="A4" s="591" t="str">
        <f>IF(L6&gt;0,"IK  "&amp;TEXT(L6,"000  000  000"),"")</f>
        <v/>
      </c>
      <c r="B4" s="607"/>
      <c r="C4" s="607"/>
      <c r="D4" s="92"/>
      <c r="E4" s="92"/>
      <c r="F4" s="92"/>
      <c r="G4" s="92"/>
      <c r="H4" s="92"/>
      <c r="I4" s="92"/>
      <c r="J4" s="92"/>
      <c r="K4" s="171" t="s">
        <v>177</v>
      </c>
      <c r="L4" s="1137"/>
      <c r="M4" s="1138"/>
      <c r="N4" s="93"/>
      <c r="O4" s="48"/>
      <c r="P4"/>
      <c r="Q4"/>
      <c r="R4"/>
      <c r="S4"/>
      <c r="T4"/>
    </row>
    <row r="5" spans="1:20" ht="12.75" customHeight="1" thickBot="1" x14ac:dyDescent="0.25">
      <c r="A5" s="1135">
        <v>46314</v>
      </c>
      <c r="B5" s="1136"/>
      <c r="C5" s="592"/>
      <c r="N5" s="4"/>
      <c r="P5"/>
      <c r="Q5"/>
      <c r="R5"/>
      <c r="S5"/>
      <c r="T5"/>
    </row>
    <row r="6" spans="1:20" ht="15" thickBot="1" x14ac:dyDescent="0.25">
      <c r="A6" s="2"/>
      <c r="B6" s="5" t="s">
        <v>1</v>
      </c>
      <c r="D6" s="1130" t="s">
        <v>391</v>
      </c>
      <c r="E6" s="1131"/>
      <c r="F6" s="1131"/>
      <c r="G6" s="1132"/>
      <c r="I6" s="5"/>
      <c r="J6" s="5"/>
      <c r="K6" s="6" t="s">
        <v>199</v>
      </c>
      <c r="L6" s="1133"/>
      <c r="M6" s="1134"/>
      <c r="N6" s="4"/>
      <c r="O6" s="1"/>
      <c r="P6"/>
      <c r="Q6"/>
      <c r="R6"/>
      <c r="S6"/>
      <c r="T6"/>
    </row>
    <row r="7" spans="1:20" ht="14.45" customHeight="1" x14ac:dyDescent="0.2">
      <c r="A7" s="2"/>
      <c r="B7" s="7"/>
      <c r="C7" s="8"/>
      <c r="D7" s="622"/>
      <c r="E7" s="622"/>
      <c r="F7" s="622"/>
      <c r="K7" s="235"/>
      <c r="N7" s="4"/>
      <c r="O7" s="215"/>
      <c r="P7"/>
      <c r="Q7"/>
      <c r="R7"/>
      <c r="S7"/>
      <c r="T7"/>
    </row>
    <row r="8" spans="1:20" ht="12.75" customHeight="1" x14ac:dyDescent="0.2">
      <c r="A8" s="2"/>
      <c r="B8" s="7"/>
      <c r="C8" s="8"/>
      <c r="D8" s="10"/>
      <c r="N8" s="4"/>
      <c r="O8" s="215"/>
      <c r="P8"/>
      <c r="Q8"/>
      <c r="R8"/>
      <c r="S8"/>
      <c r="T8"/>
    </row>
    <row r="9" spans="1:20" ht="12.75" customHeight="1" x14ac:dyDescent="0.2">
      <c r="A9" s="2"/>
      <c r="B9" s="7"/>
      <c r="C9" s="8"/>
      <c r="N9" s="4"/>
      <c r="P9"/>
      <c r="Q9"/>
      <c r="R9"/>
      <c r="S9"/>
      <c r="T9"/>
    </row>
    <row r="10" spans="1:20" x14ac:dyDescent="0.2">
      <c r="A10" s="2"/>
      <c r="B10" s="39" t="s">
        <v>3</v>
      </c>
      <c r="C10" s="38"/>
      <c r="D10" s="38"/>
      <c r="E10" s="38"/>
      <c r="F10" s="38"/>
      <c r="G10" s="38"/>
      <c r="H10" s="38"/>
      <c r="I10" s="38"/>
      <c r="J10" s="38"/>
      <c r="K10" s="38"/>
      <c r="L10" s="38"/>
      <c r="M10" s="38"/>
      <c r="N10" s="4"/>
      <c r="O10" s="216"/>
      <c r="P10"/>
      <c r="Q10"/>
      <c r="R10"/>
      <c r="S10"/>
      <c r="T10"/>
    </row>
    <row r="11" spans="1:20" ht="12.75" customHeight="1" x14ac:dyDescent="0.2">
      <c r="A11" s="2"/>
      <c r="D11" s="37"/>
      <c r="N11" s="4"/>
      <c r="O11" s="217"/>
      <c r="P11"/>
      <c r="Q11"/>
      <c r="R11"/>
      <c r="S11"/>
      <c r="T11"/>
    </row>
    <row r="12" spans="1:20" x14ac:dyDescent="0.2">
      <c r="A12" s="2"/>
      <c r="B12" s="11" t="s">
        <v>98</v>
      </c>
      <c r="D12" s="1108"/>
      <c r="E12" s="1107"/>
      <c r="F12" s="1107"/>
      <c r="G12" s="1107"/>
      <c r="H12" s="1107"/>
      <c r="I12" s="1107"/>
      <c r="J12" s="1107"/>
      <c r="K12" s="1107"/>
      <c r="L12" s="1107"/>
      <c r="M12" s="1107"/>
      <c r="N12" s="12"/>
      <c r="O12" s="218"/>
      <c r="P12"/>
      <c r="Q12"/>
      <c r="R12"/>
      <c r="S12"/>
      <c r="T12"/>
    </row>
    <row r="13" spans="1:20" x14ac:dyDescent="0.2">
      <c r="A13" s="2"/>
      <c r="D13" s="13" t="s">
        <v>4</v>
      </c>
      <c r="E13" s="13"/>
      <c r="J13" s="13"/>
      <c r="K13" s="13"/>
      <c r="L13" s="13"/>
      <c r="M13" s="13"/>
      <c r="N13" s="14"/>
      <c r="P13"/>
      <c r="Q13"/>
      <c r="R13"/>
      <c r="S13"/>
      <c r="T13"/>
    </row>
    <row r="14" spans="1:20" x14ac:dyDescent="0.2">
      <c r="A14" s="2"/>
      <c r="D14" s="1108"/>
      <c r="E14" s="1107"/>
      <c r="F14" s="1107"/>
      <c r="G14" s="1107"/>
      <c r="H14" s="1107"/>
      <c r="I14" s="1107"/>
      <c r="J14" s="1107"/>
      <c r="K14" s="1107"/>
      <c r="L14" s="1107"/>
      <c r="M14" s="1107"/>
      <c r="N14" s="4"/>
      <c r="P14"/>
      <c r="Q14"/>
      <c r="R14"/>
      <c r="S14"/>
      <c r="T14"/>
    </row>
    <row r="15" spans="1:20" x14ac:dyDescent="0.2">
      <c r="A15" s="2"/>
      <c r="D15" s="13" t="s">
        <v>5</v>
      </c>
      <c r="E15" s="13"/>
      <c r="N15" s="4"/>
      <c r="O15" s="219"/>
      <c r="P15"/>
      <c r="Q15"/>
      <c r="R15"/>
      <c r="S15"/>
      <c r="T15"/>
    </row>
    <row r="16" spans="1:20" x14ac:dyDescent="0.2">
      <c r="A16" s="2"/>
      <c r="D16" s="1105"/>
      <c r="E16" s="1106"/>
      <c r="F16" s="1106"/>
      <c r="G16" s="1106"/>
      <c r="H16" s="1106"/>
      <c r="I16"/>
      <c r="J16" s="1111"/>
      <c r="K16" s="1112"/>
      <c r="L16" s="1112"/>
      <c r="M16" s="1112"/>
      <c r="N16" s="4"/>
      <c r="O16" s="220"/>
      <c r="P16"/>
      <c r="Q16"/>
      <c r="R16"/>
      <c r="S16"/>
      <c r="T16"/>
    </row>
    <row r="17" spans="1:20" x14ac:dyDescent="0.2">
      <c r="A17" s="2"/>
      <c r="D17" s="13" t="s">
        <v>331</v>
      </c>
      <c r="E17" s="13"/>
      <c r="J17" s="508" t="s">
        <v>332</v>
      </c>
      <c r="N17" s="4"/>
      <c r="P17"/>
      <c r="Q17"/>
      <c r="R17"/>
      <c r="S17"/>
      <c r="T17"/>
    </row>
    <row r="18" spans="1:20" x14ac:dyDescent="0.2">
      <c r="A18" s="2"/>
      <c r="D18" s="1105"/>
      <c r="E18" s="1106"/>
      <c r="F18" s="1106"/>
      <c r="G18" s="1106"/>
      <c r="H18" s="1107"/>
      <c r="J18" s="1101"/>
      <c r="K18" s="1102"/>
      <c r="L18" s="1102"/>
      <c r="M18" s="1102"/>
      <c r="N18" s="4"/>
      <c r="O18" s="221"/>
      <c r="P18"/>
      <c r="Q18"/>
      <c r="R18"/>
      <c r="S18"/>
      <c r="T18"/>
    </row>
    <row r="19" spans="1:20" x14ac:dyDescent="0.2">
      <c r="A19" s="2"/>
      <c r="D19" s="13" t="s">
        <v>6</v>
      </c>
      <c r="E19" s="13"/>
      <c r="J19" s="13" t="s">
        <v>7</v>
      </c>
      <c r="K19" s="13"/>
      <c r="L19" s="13"/>
      <c r="N19" s="4"/>
      <c r="P19"/>
      <c r="Q19"/>
      <c r="R19"/>
      <c r="S19"/>
      <c r="T19"/>
    </row>
    <row r="20" spans="1:20" x14ac:dyDescent="0.2">
      <c r="A20" s="2"/>
      <c r="D20" s="1109"/>
      <c r="E20" s="1106"/>
      <c r="F20" s="1106"/>
      <c r="G20" s="1106"/>
      <c r="H20" s="1107"/>
      <c r="J20" s="1110"/>
      <c r="K20" s="1102"/>
      <c r="L20" s="1102"/>
      <c r="M20" s="1102"/>
      <c r="N20" s="4"/>
      <c r="P20"/>
      <c r="Q20"/>
      <c r="R20" s="87"/>
      <c r="S20"/>
      <c r="T20"/>
    </row>
    <row r="21" spans="1:20" x14ac:dyDescent="0.2">
      <c r="A21" s="2"/>
      <c r="D21" s="13" t="s">
        <v>8</v>
      </c>
      <c r="E21" s="13"/>
      <c r="J21" s="15" t="s">
        <v>100</v>
      </c>
      <c r="N21" s="4"/>
      <c r="P21"/>
      <c r="Q21"/>
      <c r="R21"/>
      <c r="S21"/>
      <c r="T21"/>
    </row>
    <row r="22" spans="1:20" ht="14.25" customHeight="1" x14ac:dyDescent="0.2">
      <c r="A22" s="2"/>
      <c r="D22" s="1105"/>
      <c r="E22" s="1106"/>
      <c r="F22" s="1106"/>
      <c r="G22" s="1106"/>
      <c r="H22" s="1107"/>
      <c r="J22" s="1101"/>
      <c r="K22" s="1102"/>
      <c r="L22" s="1102"/>
      <c r="M22" s="1102"/>
      <c r="N22" s="4"/>
      <c r="P22"/>
      <c r="Q22"/>
      <c r="R22"/>
      <c r="S22"/>
      <c r="T22"/>
    </row>
    <row r="23" spans="1:20" x14ac:dyDescent="0.2">
      <c r="A23" s="2"/>
      <c r="D23" s="13" t="s">
        <v>99</v>
      </c>
      <c r="E23" s="13"/>
      <c r="J23" s="13" t="s">
        <v>9</v>
      </c>
      <c r="K23" s="13"/>
      <c r="L23" s="13"/>
      <c r="N23" s="4"/>
      <c r="P23"/>
      <c r="Q23"/>
      <c r="R23"/>
      <c r="S23"/>
      <c r="T23"/>
    </row>
    <row r="24" spans="1:20" ht="12.75" customHeight="1" x14ac:dyDescent="0.2">
      <c r="A24" s="2"/>
      <c r="D24" s="13"/>
      <c r="E24" s="13"/>
      <c r="J24" s="15"/>
      <c r="N24" s="4"/>
      <c r="P24"/>
      <c r="Q24"/>
      <c r="R24"/>
      <c r="S24"/>
      <c r="T24"/>
    </row>
    <row r="25" spans="1:20" ht="12.75" customHeight="1" x14ac:dyDescent="0.2">
      <c r="A25" s="2"/>
      <c r="D25" s="13"/>
      <c r="E25" s="13"/>
      <c r="N25" s="4"/>
      <c r="P25"/>
      <c r="Q25"/>
      <c r="R25"/>
      <c r="S25"/>
      <c r="T25"/>
    </row>
    <row r="26" spans="1:20" x14ac:dyDescent="0.2">
      <c r="A26" s="2"/>
      <c r="B26" s="11" t="s">
        <v>10</v>
      </c>
      <c r="D26" s="1108"/>
      <c r="E26" s="1108"/>
      <c r="F26" s="1108"/>
      <c r="G26" s="1108"/>
      <c r="H26" s="1108"/>
      <c r="I26" s="1108"/>
      <c r="J26" s="1108"/>
      <c r="K26" s="1108"/>
      <c r="L26" s="1108"/>
      <c r="M26" s="1108"/>
      <c r="N26" s="4"/>
      <c r="P26"/>
      <c r="Q26"/>
      <c r="R26"/>
      <c r="S26"/>
      <c r="T26"/>
    </row>
    <row r="27" spans="1:20" x14ac:dyDescent="0.2">
      <c r="A27" s="2"/>
      <c r="D27" s="13" t="s">
        <v>11</v>
      </c>
      <c r="E27" s="13"/>
      <c r="N27" s="4"/>
      <c r="P27"/>
      <c r="Q27"/>
      <c r="R27"/>
      <c r="S27"/>
      <c r="T27"/>
    </row>
    <row r="28" spans="1:20" x14ac:dyDescent="0.2">
      <c r="A28" s="2"/>
      <c r="D28" s="1108"/>
      <c r="E28" s="1107"/>
      <c r="F28" s="1107"/>
      <c r="G28" s="1107"/>
      <c r="H28" s="1107"/>
      <c r="I28" s="1107"/>
      <c r="J28" s="1107"/>
      <c r="K28" s="1107"/>
      <c r="L28" s="1107"/>
      <c r="M28" s="1107"/>
      <c r="N28" s="4"/>
      <c r="P28"/>
      <c r="Q28"/>
      <c r="R28"/>
      <c r="S28"/>
      <c r="T28"/>
    </row>
    <row r="29" spans="1:20" ht="14.25" customHeight="1" x14ac:dyDescent="0.2">
      <c r="A29" s="2"/>
      <c r="D29" s="13" t="s">
        <v>5</v>
      </c>
      <c r="E29" s="13"/>
      <c r="N29" s="4"/>
      <c r="P29"/>
      <c r="Q29"/>
      <c r="R29"/>
      <c r="S29"/>
      <c r="T29"/>
    </row>
    <row r="30" spans="1:20" x14ac:dyDescent="0.2">
      <c r="A30" s="2"/>
      <c r="D30" s="1101"/>
      <c r="E30" s="1102"/>
      <c r="F30" s="1102"/>
      <c r="G30" s="1102"/>
      <c r="H30" s="1102"/>
      <c r="I30" s="529"/>
      <c r="J30" s="1103"/>
      <c r="K30" s="1104"/>
      <c r="L30" s="1104"/>
      <c r="M30" s="1104"/>
      <c r="N30" s="4"/>
      <c r="P30"/>
      <c r="Q30"/>
      <c r="R30"/>
      <c r="S30"/>
      <c r="T30"/>
    </row>
    <row r="31" spans="1:20" x14ac:dyDescent="0.2">
      <c r="A31" s="2"/>
      <c r="D31" s="13" t="s">
        <v>331</v>
      </c>
      <c r="E31" s="13"/>
      <c r="J31" s="508" t="s">
        <v>332</v>
      </c>
      <c r="N31" s="4"/>
      <c r="P31"/>
      <c r="Q31"/>
      <c r="R31"/>
      <c r="S31"/>
      <c r="T31"/>
    </row>
    <row r="32" spans="1:20" x14ac:dyDescent="0.2">
      <c r="A32" s="2"/>
      <c r="D32" s="1105"/>
      <c r="E32" s="1106"/>
      <c r="F32" s="1106"/>
      <c r="G32" s="1106"/>
      <c r="H32" s="1107"/>
      <c r="J32" s="1101"/>
      <c r="K32" s="1102"/>
      <c r="L32" s="1102"/>
      <c r="M32" s="1102"/>
      <c r="N32" s="4"/>
      <c r="P32"/>
      <c r="Q32"/>
      <c r="R32"/>
      <c r="S32"/>
      <c r="T32"/>
    </row>
    <row r="33" spans="1:20" x14ac:dyDescent="0.2">
      <c r="A33" s="2"/>
      <c r="D33" s="13" t="s">
        <v>6</v>
      </c>
      <c r="E33" s="13"/>
      <c r="J33" s="13" t="s">
        <v>7</v>
      </c>
      <c r="K33" s="13"/>
      <c r="L33" s="13"/>
      <c r="M33" s="13"/>
      <c r="N33" s="14"/>
      <c r="P33"/>
      <c r="Q33"/>
      <c r="R33"/>
      <c r="S33"/>
      <c r="T33"/>
    </row>
    <row r="34" spans="1:20" x14ac:dyDescent="0.2">
      <c r="A34" s="2"/>
      <c r="D34" s="1109"/>
      <c r="E34" s="1106"/>
      <c r="F34" s="1106"/>
      <c r="G34" s="1106"/>
      <c r="H34" s="1107"/>
      <c r="J34" s="1110"/>
      <c r="K34" s="1102"/>
      <c r="L34" s="1102"/>
      <c r="M34" s="1102"/>
      <c r="N34" s="4"/>
    </row>
    <row r="35" spans="1:20" x14ac:dyDescent="0.2">
      <c r="A35" s="2"/>
      <c r="D35" s="13" t="s">
        <v>8</v>
      </c>
      <c r="E35" s="13"/>
      <c r="J35" s="15" t="s">
        <v>100</v>
      </c>
      <c r="N35" s="4"/>
    </row>
    <row r="36" spans="1:20" x14ac:dyDescent="0.2">
      <c r="A36" s="2"/>
      <c r="D36" s="1108"/>
      <c r="E36" s="1107"/>
      <c r="F36" s="1107"/>
      <c r="G36" s="1107"/>
      <c r="H36" s="1107"/>
      <c r="I36" s="1107"/>
      <c r="J36" s="1107"/>
      <c r="K36" s="1107"/>
      <c r="L36" s="1107"/>
      <c r="M36" s="1107"/>
      <c r="N36" s="4"/>
      <c r="O36" s="219"/>
    </row>
    <row r="37" spans="1:20" x14ac:dyDescent="0.2">
      <c r="A37" s="2"/>
      <c r="D37" s="13" t="s">
        <v>141</v>
      </c>
      <c r="E37" s="13"/>
      <c r="J37" s="15"/>
      <c r="N37" s="4"/>
    </row>
    <row r="38" spans="1:20" ht="5.25" customHeight="1" x14ac:dyDescent="0.2">
      <c r="A38" s="2"/>
      <c r="D38" s="13"/>
      <c r="E38" s="13"/>
      <c r="N38" s="4"/>
    </row>
    <row r="39" spans="1:20" x14ac:dyDescent="0.2">
      <c r="A39" s="2"/>
      <c r="B39" s="39" t="s">
        <v>12</v>
      </c>
      <c r="C39" s="38"/>
      <c r="D39" s="60"/>
      <c r="E39" s="60"/>
      <c r="F39" s="38"/>
      <c r="G39" s="38"/>
      <c r="H39" s="38"/>
      <c r="I39" s="38"/>
      <c r="J39" s="38"/>
      <c r="K39" s="38"/>
      <c r="L39" s="38"/>
      <c r="M39" s="38"/>
      <c r="N39" s="4"/>
    </row>
    <row r="40" spans="1:20" ht="6" customHeight="1" x14ac:dyDescent="0.2">
      <c r="A40" s="2"/>
      <c r="D40" s="13"/>
      <c r="E40" s="13"/>
      <c r="N40" s="4"/>
    </row>
    <row r="41" spans="1:20" x14ac:dyDescent="0.2">
      <c r="A41" s="2"/>
      <c r="C41" s="181"/>
      <c r="E41" s="11"/>
      <c r="G41" s="17" t="s">
        <v>13</v>
      </c>
      <c r="H41" s="1113"/>
      <c r="I41" s="1107"/>
      <c r="J41" s="1107"/>
      <c r="K41" s="1107"/>
      <c r="L41" s="1107"/>
      <c r="M41" s="1107"/>
      <c r="N41" s="4"/>
    </row>
    <row r="42" spans="1:20" ht="6" customHeight="1" x14ac:dyDescent="0.2">
      <c r="A42" s="2"/>
      <c r="D42" s="13"/>
      <c r="E42" s="13"/>
      <c r="N42" s="4"/>
    </row>
    <row r="43" spans="1:20" s="3" customFormat="1" ht="12.75" customHeight="1" x14ac:dyDescent="0.2">
      <c r="A43" s="2"/>
      <c r="B43" s="11" t="s">
        <v>14</v>
      </c>
      <c r="D43" s="13"/>
      <c r="E43" s="13"/>
      <c r="I43" s="142"/>
      <c r="N43" s="4"/>
      <c r="O43" s="222"/>
    </row>
    <row r="44" spans="1:20" s="3" customFormat="1" ht="5.25" customHeight="1" x14ac:dyDescent="0.2">
      <c r="A44" s="2"/>
      <c r="B44" s="11"/>
      <c r="D44" s="13"/>
      <c r="E44" s="13"/>
      <c r="I44" s="127"/>
      <c r="N44" s="4"/>
      <c r="O44" s="222"/>
    </row>
    <row r="45" spans="1:20" s="3" customFormat="1" ht="12.75" customHeight="1" x14ac:dyDescent="0.2">
      <c r="A45" s="2"/>
      <c r="B45" s="5" t="s">
        <v>293</v>
      </c>
      <c r="D45" s="13"/>
      <c r="E45" s="13"/>
      <c r="H45" s="347"/>
      <c r="I45" s="127"/>
      <c r="K45" s="350">
        <f>DATEDIF(H45,H51,"m")</f>
        <v>0</v>
      </c>
      <c r="N45" s="4"/>
      <c r="O45" s="222"/>
    </row>
    <row r="46" spans="1:20" ht="12.75" customHeight="1" thickBot="1" x14ac:dyDescent="0.25">
      <c r="A46" s="2"/>
      <c r="D46" s="13"/>
      <c r="E46" s="13"/>
      <c r="K46" s="340" t="str">
        <f>IF(AND(H45="",H51&lt;&gt;""),"Bitte Erfassung des Zulassungsdatums!","")</f>
        <v/>
      </c>
      <c r="N46" s="4"/>
      <c r="O46" s="222"/>
    </row>
    <row r="47" spans="1:20" ht="15" thickBot="1" x14ac:dyDescent="0.25">
      <c r="A47" s="2"/>
      <c r="B47" s="16" t="s">
        <v>15</v>
      </c>
      <c r="L47" s="182"/>
      <c r="N47" s="4"/>
    </row>
    <row r="48" spans="1:20" ht="12.75" customHeight="1" x14ac:dyDescent="0.2">
      <c r="A48" s="2"/>
      <c r="B48" s="16"/>
      <c r="H48" s="472"/>
      <c r="L48" s="436"/>
      <c r="N48" s="4"/>
      <c r="O48" s="89"/>
      <c r="P48" s="216"/>
      <c r="Q48" s="223"/>
    </row>
    <row r="49" spans="1:21" ht="12.75" customHeight="1" x14ac:dyDescent="0.2">
      <c r="A49" s="143"/>
      <c r="B49" s="144" t="s">
        <v>16</v>
      </c>
      <c r="C49" s="18"/>
      <c r="D49" s="18"/>
      <c r="E49" s="145"/>
      <c r="F49" s="146"/>
      <c r="G49" s="146"/>
      <c r="H49" s="184"/>
      <c r="L49" s="17"/>
      <c r="M49"/>
      <c r="N49" s="19"/>
      <c r="O49" s="89"/>
      <c r="P49" s="216"/>
      <c r="Q49" s="224"/>
      <c r="R49" s="225"/>
    </row>
    <row r="50" spans="1:21" ht="5.25" customHeight="1" thickBot="1" x14ac:dyDescent="0.25">
      <c r="A50" s="2"/>
      <c r="B50" s="16"/>
      <c r="N50" s="4"/>
      <c r="O50" s="89" t="s">
        <v>296</v>
      </c>
    </row>
    <row r="51" spans="1:21" s="148" customFormat="1" ht="13.5" thickBot="1" x14ac:dyDescent="0.25">
      <c r="A51" s="147"/>
      <c r="B51" s="144" t="s">
        <v>283</v>
      </c>
      <c r="E51" s="149"/>
      <c r="F51" s="1114" t="s">
        <v>17</v>
      </c>
      <c r="G51" s="1114"/>
      <c r="H51" s="294"/>
      <c r="I51" s="150"/>
      <c r="J51" s="151" t="s">
        <v>18</v>
      </c>
      <c r="K51" s="294"/>
      <c r="M51" s="533">
        <f>IFERROR(DATEDIF(H51,K51,"m")+1,0)</f>
        <v>1</v>
      </c>
      <c r="N51" s="152"/>
      <c r="P51" s="11"/>
      <c r="Q51" s="11"/>
      <c r="R51" s="11"/>
      <c r="S51" s="11"/>
      <c r="T51" s="11"/>
      <c r="U51" s="166"/>
    </row>
    <row r="52" spans="1:21" s="148" customFormat="1" ht="5.25" customHeight="1" x14ac:dyDescent="0.2">
      <c r="A52" s="147"/>
      <c r="B52" s="144"/>
      <c r="E52" s="149"/>
      <c r="F52" s="167"/>
      <c r="G52" s="167"/>
      <c r="H52" s="185"/>
      <c r="I52" s="168"/>
      <c r="J52" s="169"/>
      <c r="K52" s="186"/>
      <c r="M52" s="533">
        <f>IF(H51&lt;DATEVALUE("01.01.2027"),1,2)</f>
        <v>1</v>
      </c>
      <c r="N52" s="152"/>
      <c r="P52" s="11"/>
      <c r="Q52" s="11"/>
      <c r="R52" s="11"/>
      <c r="S52" s="11"/>
      <c r="T52" s="11"/>
      <c r="U52" s="166"/>
    </row>
    <row r="53" spans="1:21" s="148" customFormat="1" ht="12.75" x14ac:dyDescent="0.2">
      <c r="A53" s="147"/>
      <c r="B53" s="144" t="s">
        <v>236</v>
      </c>
      <c r="E53" s="149"/>
      <c r="F53" s="1114" t="s">
        <v>17</v>
      </c>
      <c r="G53" s="1114"/>
      <c r="H53" s="531"/>
      <c r="I53" s="150"/>
      <c r="J53" s="151" t="s">
        <v>18</v>
      </c>
      <c r="K53" s="184"/>
      <c r="N53" s="152"/>
      <c r="P53" s="11"/>
      <c r="Q53" s="11"/>
      <c r="R53" s="11"/>
      <c r="S53" s="11"/>
      <c r="T53" s="11"/>
      <c r="U53" s="166"/>
    </row>
    <row r="54" spans="1:21" s="148" customFormat="1" ht="12.75" x14ac:dyDescent="0.2">
      <c r="A54" s="147"/>
      <c r="B54" s="144"/>
      <c r="E54" s="149"/>
      <c r="F54" s="167"/>
      <c r="G54" s="167"/>
      <c r="H54" s="530"/>
      <c r="I54" s="150"/>
      <c r="J54" s="532" t="str">
        <f>IF(K53&gt;H51,"Vereinbarungsbeginn liegt vor dem Ende der Vorvereinbarung.","")</f>
        <v/>
      </c>
      <c r="K54" s="530"/>
      <c r="N54" s="152"/>
      <c r="P54" s="11"/>
      <c r="Q54" s="11"/>
      <c r="R54" s="11"/>
      <c r="S54" s="11"/>
      <c r="T54" s="11"/>
      <c r="U54" s="166"/>
    </row>
    <row r="55" spans="1:21" s="148" customFormat="1" ht="12.75" x14ac:dyDescent="0.2">
      <c r="A55" s="147"/>
      <c r="B55" s="119" t="s">
        <v>317</v>
      </c>
      <c r="C55" s="226"/>
      <c r="D55" s="226"/>
      <c r="E55" s="435"/>
      <c r="F55" s="436"/>
      <c r="G55" s="436"/>
      <c r="H55" s="440"/>
      <c r="I55" s="441"/>
      <c r="J55" s="442"/>
      <c r="K55" s="443"/>
      <c r="L55" s="443"/>
      <c r="M55" s="443"/>
      <c r="N55" s="152"/>
      <c r="P55" s="11"/>
      <c r="Q55" s="11"/>
      <c r="R55" s="11"/>
      <c r="S55" s="11"/>
      <c r="T55" s="11"/>
      <c r="U55" s="166"/>
    </row>
    <row r="56" spans="1:21" s="148" customFormat="1" ht="12.75" x14ac:dyDescent="0.2">
      <c r="A56" s="147"/>
      <c r="B56" s="119" t="s">
        <v>320</v>
      </c>
      <c r="C56" s="226"/>
      <c r="D56" s="226"/>
      <c r="E56" s="435"/>
      <c r="F56" s="436"/>
      <c r="G56" s="436"/>
      <c r="H56" s="1121"/>
      <c r="I56" s="1122"/>
      <c r="J56" s="1123"/>
      <c r="K56" s="443"/>
      <c r="L56" s="443"/>
      <c r="M56" s="443"/>
      <c r="N56" s="152"/>
      <c r="P56" s="11"/>
      <c r="Q56" s="11"/>
      <c r="R56" s="11"/>
      <c r="S56" s="11"/>
      <c r="T56" s="11"/>
      <c r="U56" s="166"/>
    </row>
    <row r="57" spans="1:21" s="148" customFormat="1" ht="12.75" x14ac:dyDescent="0.2">
      <c r="A57" s="147"/>
      <c r="B57" s="119" t="s">
        <v>318</v>
      </c>
      <c r="C57" s="226"/>
      <c r="D57" s="226"/>
      <c r="E57" s="435"/>
      <c r="F57" s="436"/>
      <c r="G57" s="436"/>
      <c r="H57" s="1118"/>
      <c r="I57" s="1119"/>
      <c r="J57" s="1119"/>
      <c r="K57" s="1119"/>
      <c r="L57" s="1119"/>
      <c r="M57" s="1120"/>
      <c r="N57" s="152"/>
      <c r="P57" s="11"/>
      <c r="Q57" s="11"/>
      <c r="R57" s="11"/>
      <c r="S57" s="11"/>
      <c r="T57" s="11"/>
      <c r="U57" s="166"/>
    </row>
    <row r="58" spans="1:21" s="148" customFormat="1" ht="12.75" x14ac:dyDescent="0.2">
      <c r="A58" s="147"/>
      <c r="B58" s="119" t="s">
        <v>319</v>
      </c>
      <c r="C58" s="226"/>
      <c r="D58" s="226"/>
      <c r="E58" s="435"/>
      <c r="F58" s="436"/>
      <c r="G58" s="436"/>
      <c r="H58" s="444"/>
      <c r="I58" s="445"/>
      <c r="J58" s="520" t="str">
        <f>IF(AND(H57="",H56&lt;&gt;"rüE"),"Bitte Angaben zum Tarif / AVR vornehmen.","")</f>
        <v>Bitte Angaben zum Tarif / AVR vornehmen.</v>
      </c>
      <c r="L58" s="445"/>
      <c r="N58" s="506">
        <v>0</v>
      </c>
      <c r="P58" s="11"/>
      <c r="Q58" s="11"/>
      <c r="R58" s="11"/>
      <c r="S58" s="11"/>
      <c r="T58" s="11"/>
      <c r="U58" s="166"/>
    </row>
    <row r="59" spans="1:21" ht="12.75" customHeight="1" x14ac:dyDescent="0.2">
      <c r="A59" s="2"/>
      <c r="B59" s="16"/>
      <c r="N59" s="4"/>
    </row>
    <row r="60" spans="1:21" ht="12.75" customHeight="1" x14ac:dyDescent="0.2">
      <c r="A60" s="20"/>
      <c r="B60" s="153" t="s">
        <v>109</v>
      </c>
      <c r="C60" s="154"/>
      <c r="D60" s="154"/>
      <c r="E60" s="154"/>
      <c r="F60" s="154"/>
      <c r="G60" s="154"/>
      <c r="H60" s="154"/>
      <c r="I60" s="154"/>
      <c r="J60" s="154"/>
      <c r="K60" s="154"/>
      <c r="L60" s="154"/>
      <c r="M60" s="154"/>
      <c r="N60" s="19"/>
    </row>
    <row r="61" spans="1:21" ht="6.75" customHeight="1" x14ac:dyDescent="0.2">
      <c r="A61" s="20"/>
      <c r="B61" s="144"/>
      <c r="C61"/>
      <c r="D61"/>
      <c r="E61"/>
      <c r="F61"/>
      <c r="G61"/>
      <c r="H61"/>
      <c r="I61"/>
      <c r="J61"/>
      <c r="K61"/>
      <c r="L61"/>
      <c r="M61"/>
      <c r="N61" s="19"/>
    </row>
    <row r="62" spans="1:21" ht="15" customHeight="1" x14ac:dyDescent="0.2">
      <c r="A62" s="20"/>
      <c r="B62"/>
      <c r="C62" s="98" t="s">
        <v>729</v>
      </c>
      <c r="D62" s="21"/>
      <c r="E62" s="155"/>
      <c r="F62" s="155"/>
      <c r="G62" s="65"/>
      <c r="H62" s="22"/>
      <c r="I62" s="156"/>
      <c r="J62" s="157"/>
      <c r="K62" s="94"/>
      <c r="L62" s="21"/>
      <c r="M62" s="94"/>
      <c r="N62" s="4"/>
      <c r="O62" s="226"/>
    </row>
    <row r="63" spans="1:21" s="148" customFormat="1" ht="14.25" customHeight="1" x14ac:dyDescent="0.2">
      <c r="A63" s="147"/>
      <c r="C63" s="158" t="s">
        <v>19</v>
      </c>
      <c r="D63" s="159"/>
      <c r="E63" s="159"/>
      <c r="F63" s="159"/>
      <c r="G63" s="159"/>
      <c r="H63" s="64" t="s">
        <v>110</v>
      </c>
      <c r="I63" s="159"/>
      <c r="J63" s="159"/>
      <c r="K63" s="291"/>
      <c r="M63" s="152"/>
      <c r="N63" s="152"/>
      <c r="P63" s="11"/>
      <c r="Q63" s="11"/>
      <c r="R63" s="11"/>
      <c r="S63" s="11"/>
      <c r="T63" s="11"/>
    </row>
    <row r="64" spans="1:21" s="148" customFormat="1" ht="14.25" customHeight="1" x14ac:dyDescent="0.2">
      <c r="A64" s="147"/>
      <c r="C64" s="158" t="s">
        <v>20</v>
      </c>
      <c r="D64" s="159"/>
      <c r="E64" s="159"/>
      <c r="F64" s="159"/>
      <c r="G64" s="159"/>
      <c r="H64" s="64" t="s">
        <v>110</v>
      </c>
      <c r="I64" s="159"/>
      <c r="J64" s="159"/>
      <c r="K64" s="292"/>
      <c r="L64" s="160"/>
      <c r="M64" s="161"/>
      <c r="N64" s="152"/>
      <c r="P64" s="11"/>
      <c r="Q64" s="11"/>
      <c r="R64" s="11"/>
      <c r="S64" s="11"/>
      <c r="T64" s="11"/>
    </row>
    <row r="65" spans="1:20" s="148" customFormat="1" ht="14.25" customHeight="1" x14ac:dyDescent="0.2">
      <c r="A65" s="147"/>
      <c r="C65" s="158" t="s">
        <v>21</v>
      </c>
      <c r="D65" s="159"/>
      <c r="E65" s="159"/>
      <c r="F65" s="159"/>
      <c r="G65" s="159"/>
      <c r="H65" s="64" t="s">
        <v>110</v>
      </c>
      <c r="I65" s="159"/>
      <c r="J65" s="159"/>
      <c r="K65" s="292"/>
      <c r="L65" s="160"/>
      <c r="M65" s="161"/>
      <c r="N65" s="152"/>
      <c r="P65" s="11"/>
      <c r="Q65" s="11"/>
      <c r="R65" s="11"/>
      <c r="S65" s="11"/>
      <c r="T65" s="11"/>
    </row>
    <row r="66" spans="1:20" s="148" customFormat="1" ht="14.25" customHeight="1" x14ac:dyDescent="0.2">
      <c r="A66" s="147"/>
      <c r="C66" s="158" t="s">
        <v>22</v>
      </c>
      <c r="D66" s="159"/>
      <c r="E66" s="159"/>
      <c r="F66" s="159"/>
      <c r="G66" s="159"/>
      <c r="H66" s="64" t="s">
        <v>110</v>
      </c>
      <c r="I66" s="159"/>
      <c r="J66" s="159"/>
      <c r="K66" s="291"/>
      <c r="L66" s="160"/>
      <c r="M66" s="161"/>
      <c r="N66" s="152"/>
      <c r="P66" s="11"/>
      <c r="Q66" s="11"/>
      <c r="R66" s="11"/>
      <c r="S66" s="11"/>
      <c r="T66" s="11"/>
    </row>
    <row r="67" spans="1:20" s="148" customFormat="1" ht="14.25" customHeight="1" x14ac:dyDescent="0.2">
      <c r="A67" s="147"/>
      <c r="C67" s="158" t="s">
        <v>23</v>
      </c>
      <c r="D67" s="159"/>
      <c r="E67" s="159"/>
      <c r="F67" s="159"/>
      <c r="G67" s="159"/>
      <c r="H67" s="64" t="s">
        <v>110</v>
      </c>
      <c r="I67" s="159"/>
      <c r="J67" s="159"/>
      <c r="K67" s="291"/>
      <c r="L67" s="160"/>
      <c r="M67" s="161"/>
      <c r="N67" s="152"/>
      <c r="P67" s="11"/>
      <c r="Q67" s="11"/>
      <c r="R67" s="11"/>
      <c r="S67" s="11"/>
      <c r="T67" s="11"/>
    </row>
    <row r="68" spans="1:20" s="148" customFormat="1" ht="14.25" customHeight="1" x14ac:dyDescent="0.2">
      <c r="A68" s="147"/>
      <c r="C68" s="158" t="s">
        <v>24</v>
      </c>
      <c r="D68" s="159"/>
      <c r="E68" s="159"/>
      <c r="F68" s="159"/>
      <c r="G68" s="159"/>
      <c r="H68" s="64" t="s">
        <v>110</v>
      </c>
      <c r="I68" s="159"/>
      <c r="J68" s="159"/>
      <c r="K68" s="291"/>
      <c r="L68" s="160"/>
      <c r="M68" s="161"/>
      <c r="N68" s="152"/>
      <c r="P68" s="11"/>
      <c r="Q68" s="11"/>
      <c r="R68" s="11"/>
      <c r="S68" s="11"/>
      <c r="T68" s="11"/>
    </row>
    <row r="69" spans="1:20" s="148" customFormat="1" ht="14.25" customHeight="1" x14ac:dyDescent="0.2">
      <c r="A69" s="147"/>
      <c r="C69" s="23" t="s">
        <v>25</v>
      </c>
      <c r="D69" s="24"/>
      <c r="E69" s="24"/>
      <c r="F69" s="24"/>
      <c r="G69" s="162"/>
      <c r="H69" s="28" t="s">
        <v>110</v>
      </c>
      <c r="I69" s="163"/>
      <c r="J69" s="163"/>
      <c r="K69" s="291"/>
      <c r="L69" s="160"/>
      <c r="M69" s="161"/>
      <c r="N69" s="152"/>
      <c r="P69" s="11"/>
      <c r="Q69" s="11"/>
      <c r="R69" s="11"/>
      <c r="S69" s="11"/>
      <c r="T69" s="11"/>
    </row>
    <row r="70" spans="1:20" s="148" customFormat="1" ht="12" customHeight="1" x14ac:dyDescent="0.2">
      <c r="A70" s="147"/>
      <c r="C70" s="25"/>
      <c r="D70" s="11"/>
      <c r="E70" s="11"/>
      <c r="F70" s="11"/>
      <c r="H70" s="11"/>
      <c r="I70" s="11"/>
      <c r="J70" s="11"/>
      <c r="K70" s="507" t="str">
        <f>IF(OR(SUM(K63:K69)&lt;100,SUM(K63:K69)&gt;100),"Anteil der Kostenträger entspricht nicht 100%.","")</f>
        <v>Anteil der Kostenträger entspricht nicht 100%.</v>
      </c>
      <c r="M70" s="152"/>
      <c r="N70" s="152"/>
      <c r="P70" s="11"/>
      <c r="Q70" s="11"/>
      <c r="R70" s="11"/>
      <c r="S70" s="11"/>
      <c r="T70" s="11"/>
    </row>
    <row r="71" spans="1:20" s="148" customFormat="1" ht="12.75" customHeight="1" x14ac:dyDescent="0.2">
      <c r="A71" s="147"/>
      <c r="C71" s="23"/>
      <c r="D71" s="24"/>
      <c r="E71" s="26"/>
      <c r="F71" s="26"/>
      <c r="G71" s="162"/>
      <c r="H71" s="27" t="s">
        <v>108</v>
      </c>
      <c r="I71" s="162"/>
      <c r="J71" s="28"/>
      <c r="K71" s="293"/>
      <c r="L71" s="164"/>
      <c r="M71" s="165"/>
      <c r="N71" s="152"/>
      <c r="O71" s="220"/>
      <c r="P71" s="11"/>
      <c r="Q71" s="11"/>
      <c r="R71" s="11"/>
      <c r="S71" s="11"/>
      <c r="T71" s="11"/>
    </row>
    <row r="72" spans="1:20" s="34" customFormat="1" ht="14.25" customHeight="1" x14ac:dyDescent="0.2">
      <c r="A72" s="31"/>
      <c r="B72" s="32"/>
      <c r="E72" s="32"/>
      <c r="F72" s="32"/>
      <c r="G72" s="32"/>
      <c r="H72" s="32"/>
      <c r="I72" s="32"/>
      <c r="J72" s="32"/>
      <c r="K72" s="528" t="str">
        <f>IF(AND(H51&gt;0,K71&lt;=5),"Mappe 'B1_Allgemeine Angaben' und Mappe 'B1_Kalkulation' an den KSV senden!","")</f>
        <v/>
      </c>
      <c r="L72" s="32"/>
      <c r="M72" s="59"/>
      <c r="N72" s="33"/>
      <c r="O72" s="227"/>
    </row>
    <row r="73" spans="1:20" s="34" customFormat="1" ht="14.25" customHeight="1" x14ac:dyDescent="0.2">
      <c r="A73" s="31"/>
      <c r="B73" s="61" t="s">
        <v>145</v>
      </c>
      <c r="C73" s="61"/>
      <c r="D73" s="61"/>
      <c r="E73" s="61"/>
      <c r="F73" s="61"/>
      <c r="G73" s="61"/>
      <c r="H73" s="61"/>
      <c r="I73" s="61"/>
      <c r="J73" s="61"/>
      <c r="K73" s="61"/>
      <c r="L73" s="61"/>
      <c r="M73" s="61"/>
      <c r="N73" s="33"/>
      <c r="O73" s="227"/>
    </row>
    <row r="74" spans="1:20" s="148" customFormat="1" ht="9.9499999999999993" customHeight="1" x14ac:dyDescent="0.2">
      <c r="A74" s="147"/>
      <c r="C74" s="11"/>
      <c r="D74" s="11"/>
      <c r="E74" s="29"/>
      <c r="F74" s="29"/>
      <c r="G74" s="29"/>
      <c r="H74" s="29"/>
      <c r="I74" s="29"/>
      <c r="J74" s="29"/>
      <c r="K74" s="29"/>
      <c r="L74" s="29"/>
      <c r="M74" s="11"/>
      <c r="N74" s="30"/>
      <c r="P74" s="11"/>
      <c r="Q74" s="11"/>
      <c r="R74" s="11"/>
      <c r="S74" s="11"/>
      <c r="T74" s="11"/>
    </row>
    <row r="75" spans="1:20" s="34" customFormat="1" ht="13.9" customHeight="1" x14ac:dyDescent="0.2">
      <c r="A75" s="31"/>
      <c r="B75" s="230" t="s">
        <v>234</v>
      </c>
      <c r="E75" s="32"/>
      <c r="F75" s="32"/>
      <c r="G75" s="32"/>
      <c r="H75" s="32"/>
      <c r="I75" s="32"/>
      <c r="J75" s="32"/>
      <c r="K75" s="32"/>
      <c r="M75" s="183"/>
      <c r="N75" s="33"/>
      <c r="O75" s="228"/>
    </row>
    <row r="76" spans="1:20" s="148" customFormat="1" ht="14.25" customHeight="1" x14ac:dyDescent="0.2">
      <c r="A76" s="35"/>
      <c r="B76" s="36"/>
      <c r="C76" s="36"/>
      <c r="D76" s="36"/>
      <c r="E76" s="36"/>
      <c r="F76" s="36"/>
      <c r="G76" s="36"/>
      <c r="H76" s="36"/>
      <c r="I76" s="36"/>
      <c r="J76" s="36"/>
      <c r="K76" s="36"/>
      <c r="L76" s="36"/>
      <c r="M76" s="36"/>
      <c r="N76" s="210"/>
      <c r="P76" s="11"/>
      <c r="Q76" s="11"/>
      <c r="R76" s="11"/>
      <c r="S76" s="11"/>
      <c r="T76" s="11"/>
    </row>
    <row r="77" spans="1:20" s="34" customFormat="1" ht="14.25" customHeight="1" thickBot="1" x14ac:dyDescent="0.25">
      <c r="A77" s="3"/>
      <c r="B77" s="3"/>
      <c r="C77" s="3"/>
      <c r="D77" s="3"/>
      <c r="E77" s="3"/>
      <c r="F77" s="3"/>
      <c r="G77" s="3"/>
      <c r="H77" s="3"/>
      <c r="I77" s="3"/>
      <c r="J77" s="3"/>
      <c r="K77" s="3"/>
      <c r="L77" s="3"/>
      <c r="M77" s="3"/>
      <c r="N77" s="3"/>
      <c r="O77" s="227"/>
      <c r="P77" s="229"/>
    </row>
    <row r="78" spans="1:20" ht="12.75" customHeight="1" thickBot="1" x14ac:dyDescent="0.25">
      <c r="D78" s="1115" t="s">
        <v>444</v>
      </c>
      <c r="E78" s="1116"/>
      <c r="F78" s="1116"/>
      <c r="G78" s="1116"/>
      <c r="H78" s="1116"/>
      <c r="I78" s="1116"/>
      <c r="J78" s="1117"/>
      <c r="K78" s="1023"/>
      <c r="O78" s="226"/>
    </row>
    <row r="79" spans="1:20" x14ac:dyDescent="0.2">
      <c r="J79" s="1023"/>
    </row>
    <row r="80" spans="1:20" x14ac:dyDescent="0.2">
      <c r="O80" s="226"/>
    </row>
  </sheetData>
  <sheetProtection algorithmName="SHA-512" hashValue="Pa0V7phxJ0hjITZ+1gLfh7HSzdz9Ef6wAfhylDb4rE4I+7KBC/+QXG0AwuupOid28aYSIBPm+5C+6nQ6oDOTRQ==" saltValue="ICnzG1C+vtb+qRmDoTc9Mg==" spinCount="100000" sheet="1" objects="1" scenarios="1" selectLockedCells="1"/>
  <customSheetViews>
    <customSheetView guid="{9119B1A0-FD79-4FE4-B78E-10E0AEB8080B}" showPageBreaks="1" showGridLines="0" fitToPage="1" printArea="1" view="pageLayout" topLeftCell="A58">
      <selection activeCell="C16" sqref="C16"/>
      <pageMargins left="0.70866141732283472" right="0.70866141732283472" top="0.78740157480314965" bottom="0.78740157480314965" header="0.31496062992125984" footer="0.31496062992125984"/>
      <pageSetup paperSize="9" scale="77" orientation="portrait" r:id="rId1"/>
      <headerFooter>
        <oddHeader>&amp;C&amp;9Seite 1</oddHeader>
        <oddFooter xml:space="preserve">&amp;L&amp;8Version: 21.06.2022&amp;C&amp;8Verhandlungsunterlagen SGB XI (vereinfacht B1)&amp;R&amp;8PSK-Beschluss Nr. 3-2022 vom 21.06.2022 </oddFooter>
      </headerFooter>
    </customSheetView>
  </customSheetViews>
  <mergeCells count="32">
    <mergeCell ref="A1:N1"/>
    <mergeCell ref="A2:N2"/>
    <mergeCell ref="A3:N3"/>
    <mergeCell ref="D6:G6"/>
    <mergeCell ref="L6:M6"/>
    <mergeCell ref="A5:B5"/>
    <mergeCell ref="L4:M4"/>
    <mergeCell ref="D36:M36"/>
    <mergeCell ref="H41:M41"/>
    <mergeCell ref="F51:G51"/>
    <mergeCell ref="D78:J78"/>
    <mergeCell ref="D34:H34"/>
    <mergeCell ref="J34:M34"/>
    <mergeCell ref="F53:G53"/>
    <mergeCell ref="H57:M57"/>
    <mergeCell ref="H56:J56"/>
    <mergeCell ref="D30:H30"/>
    <mergeCell ref="J30:M30"/>
    <mergeCell ref="D32:H32"/>
    <mergeCell ref="J32:M32"/>
    <mergeCell ref="D12:M12"/>
    <mergeCell ref="D14:M14"/>
    <mergeCell ref="D18:H18"/>
    <mergeCell ref="J18:M18"/>
    <mergeCell ref="D20:H20"/>
    <mergeCell ref="J20:M20"/>
    <mergeCell ref="D22:H22"/>
    <mergeCell ref="J22:M22"/>
    <mergeCell ref="D26:M26"/>
    <mergeCell ref="D28:M28"/>
    <mergeCell ref="D16:H16"/>
    <mergeCell ref="J16:M16"/>
  </mergeCells>
  <conditionalFormatting sqref="H45 H51">
    <cfRule type="expression" dxfId="28" priority="1">
      <formula>$H$45&gt;=$H$51</formula>
    </cfRule>
  </conditionalFormatting>
  <conditionalFormatting sqref="H56:J56">
    <cfRule type="expression" dxfId="27" priority="4">
      <formula>$H$55="ja"</formula>
    </cfRule>
    <cfRule type="expression" dxfId="26" priority="5">
      <formula>$Q$12="ja"</formula>
    </cfRule>
  </conditionalFormatting>
  <conditionalFormatting sqref="H57:M57 H58">
    <cfRule type="expression" dxfId="25" priority="3">
      <formula>AND($H$55="nein",$H$56="rüE")</formula>
    </cfRule>
  </conditionalFormatting>
  <conditionalFormatting sqref="K7">
    <cfRule type="expression" dxfId="24" priority="133">
      <formula>#REF!=0</formula>
    </cfRule>
  </conditionalFormatting>
  <conditionalFormatting sqref="L41">
    <cfRule type="expression" dxfId="23" priority="134">
      <formula>Wennoder(#REF!&lt;0,#REF!=0,"")</formula>
    </cfRule>
  </conditionalFormatting>
  <dataValidations xWindow="279" yWindow="275" count="10">
    <dataValidation type="date" errorStyle="warning" operator="greaterThan" allowBlank="1" showInputMessage="1" showErrorMessage="1" errorTitle="Laufzeitbeginn im Jahr 2017" error="Laufzeitbeginn ab 01.01.2017 möglich" sqref="H52" xr:uid="{00000000-0002-0000-0300-000000000000}">
      <formula1>42735</formula1>
    </dataValidation>
    <dataValidation allowBlank="1" showInputMessage="1" showErrorMessage="1" promptTitle="Quorum" prompt="Bitte Hinweise zur Berechnung des Anteils beachten!" sqref="K71" xr:uid="{00000000-0002-0000-0300-000001000000}"/>
    <dataValidation type="whole" errorStyle="information" allowBlank="1" showInputMessage="1" showErrorMessage="1" errorTitle="angebundene KZP" promptTitle="angebundene KZP" prompt="siehe allgemeine Hinweise" sqref="L48" xr:uid="{00000000-0002-0000-0300-000002000000}">
      <formula1>1</formula1>
      <formula2>30</formula2>
    </dataValidation>
    <dataValidation type="list" allowBlank="1" showInputMessage="1" showErrorMessage="1" sqref="M75 H55" xr:uid="{00000000-0002-0000-0300-000003000000}">
      <formula1>"ja,nein"</formula1>
    </dataValidation>
    <dataValidation type="date" errorStyle="warning" operator="greaterThan" allowBlank="1" showInputMessage="1" showErrorMessage="1" error="Laufzeitbeginn nach 01.01.2027 möglich" sqref="H51" xr:uid="{00000000-0002-0000-0300-000005000000}">
      <formula1>46387</formula1>
    </dataValidation>
    <dataValidation type="date" errorStyle="warning" operator="greaterThan" allowBlank="1" showInputMessage="1" sqref="H58" xr:uid="{00000000-0002-0000-0300-000006000000}">
      <formula1>43831</formula1>
    </dataValidation>
    <dataValidation errorStyle="warning" operator="greaterThan" allowBlank="1" showInputMessage="1" sqref="N58 H57:M57 I58:J58 L58" xr:uid="{00000000-0002-0000-0300-000007000000}"/>
    <dataValidation type="list" allowBlank="1" showInputMessage="1" showErrorMessage="1" sqref="H56:J56" xr:uid="{00000000-0002-0000-0300-000008000000}">
      <formula1>"rüE, Tarifanlehnung"</formula1>
    </dataValidation>
    <dataValidation type="whole" allowBlank="1" showInputMessage="1" showErrorMessage="1" errorTitle="Angabe bitte prüfen" error="Es dürfen nur Ziffern verwendet werden." prompt="IK bitte ohne Leerzeichen oder sonst. Trennzeichen angeben! " sqref="L6:M6" xr:uid="{765BE258-02CA-446E-A6F4-9878F7273E08}">
      <formula1>0</formula1>
      <formula2>10000000000</formula2>
    </dataValidation>
    <dataValidation allowBlank="1" showInputMessage="1" showErrorMessage="1" prompt="_x000a__x000a__x000a__x000a_" sqref="D6:G6" xr:uid="{00000000-0002-0000-0300-00000A000000}"/>
  </dataValidations>
  <hyperlinks>
    <hyperlink ref="D78" location="'Anlage 1'!A1" display="Anlage 1" xr:uid="{00000000-0004-0000-0300-000000000000}"/>
    <hyperlink ref="D78:J78" location="B_KZP_Kalkulation!A1" display="gehe weiter zu B_KZP_Kalkulation" xr:uid="{00000000-0004-0000-0300-000001000000}"/>
  </hyperlinks>
  <pageMargins left="0.70866141732283472" right="0.70866141732283472" top="0.78740157480314965" bottom="0.78740157480314965" header="0.31496062992125984" footer="0.31496062992125984"/>
  <pageSetup paperSize="9" scale="74" orientation="portrait"/>
  <headerFooter>
    <oddHeader>&amp;C&amp;9&amp;A</oddHeader>
    <oddFooter>&amp;L&amp;8Version: 19.10.2026&amp;C&amp;8Verhandlungsunterlagen SGB XI (vereinfacht B_KZP)&amp;R&amp;8PSK-Beschluss vom 08.10.2026</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828675</xdr:colOff>
                    <xdr:row>41</xdr:row>
                    <xdr:rowOff>38100</xdr:rowOff>
                  </from>
                  <to>
                    <xdr:col>9</xdr:col>
                    <xdr:colOff>66675</xdr:colOff>
                    <xdr:row>44</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6" id="{5600D652-B86D-4CFE-84C9-B7ED538E8B06}">
            <xm:f>KAT!$A$80="nein"</xm:f>
            <x14:dxf>
              <fill>
                <patternFill>
                  <bgColor theme="0"/>
                </patternFill>
              </fill>
            </x14:dxf>
          </x14:cfRule>
          <xm:sqref>D7:F7 D11 K45:K46 H48 L48 M51:M52 J54 J58 N58 K70 K72</xm:sqref>
        </x14:conditionalFormatting>
      </x14:conditionalFormattings>
    </ext>
    <ext xmlns:x14="http://schemas.microsoft.com/office/spreadsheetml/2009/9/main" uri="{CCE6A557-97BC-4b89-ADB6-D9C93CAAB3DF}">
      <x14:dataValidations xmlns:xm="http://schemas.microsoft.com/office/excel/2006/main" xWindow="279" yWindow="275" count="1">
        <x14:dataValidation type="list" allowBlank="1" showInputMessage="1" showErrorMessage="1" errorTitle="Auswahlmöglichkeit" error="Bitte aus Liste wählen!" xr:uid="{00000000-0002-0000-0300-000009000000}">
          <x14:formula1>
            <xm:f>KAT!$F$2:$F$4</xm:f>
          </x14:formula1>
          <xm:sqref>C41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H77"/>
  <sheetViews>
    <sheetView showGridLines="0" zoomScaleNormal="100" workbookViewId="0">
      <selection activeCell="A6" sqref="A6"/>
    </sheetView>
  </sheetViews>
  <sheetFormatPr baseColWidth="10" defaultRowHeight="14.25" x14ac:dyDescent="0.2"/>
  <cols>
    <col min="1" max="1" width="4.375" customWidth="1"/>
    <col min="2" max="2" width="20.875" customWidth="1"/>
    <col min="3" max="3" width="23.375" customWidth="1"/>
    <col min="4" max="4" width="23.5" customWidth="1"/>
    <col min="5" max="5" width="20.625" customWidth="1"/>
    <col min="6" max="6" width="17.625" customWidth="1"/>
    <col min="7" max="7" width="2.375" customWidth="1"/>
    <col min="8" max="8" width="21.625" customWidth="1"/>
    <col min="9" max="10" width="17.625" customWidth="1"/>
    <col min="11" max="11" width="22.25" customWidth="1"/>
    <col min="12" max="12" width="17.625" customWidth="1"/>
    <col min="13" max="13" width="22.375" customWidth="1"/>
    <col min="14" max="14" width="5.625" customWidth="1"/>
    <col min="15" max="15" width="18.875" customWidth="1"/>
    <col min="16" max="16" width="8.625" customWidth="1"/>
    <col min="17" max="17" width="12.75" customWidth="1"/>
    <col min="18" max="18" width="1.625" customWidth="1"/>
    <col min="19" max="19" width="11" customWidth="1"/>
    <col min="20" max="21" width="11" style="302" hidden="1" customWidth="1"/>
    <col min="22" max="23" width="14.75" style="302" hidden="1" customWidth="1"/>
    <col min="24" max="32" width="11" style="302" hidden="1" customWidth="1"/>
    <col min="33" max="45" width="11" customWidth="1"/>
  </cols>
  <sheetData>
    <row r="1" spans="1:25" ht="15" x14ac:dyDescent="0.25">
      <c r="A1" s="1170" t="str">
        <f>'B_KZP_Allgemeine Angaben'!A1:N1</f>
        <v>Vereinfachtes Verfahren der Aufforderung zum Abschluss einer Pflegesatzvereinbarung gemäß § 84, 85 SGB XI - Kurzzeitpflegeeinrichtungen</v>
      </c>
      <c r="B1" s="1171"/>
      <c r="C1" s="1171"/>
      <c r="D1" s="1171"/>
      <c r="E1" s="1171"/>
      <c r="F1" s="1171"/>
      <c r="G1" s="1171"/>
      <c r="H1" s="1171"/>
      <c r="I1" s="1171"/>
      <c r="J1" s="1171"/>
      <c r="K1" s="1171"/>
      <c r="L1" s="1171"/>
      <c r="M1" s="1171"/>
      <c r="N1" s="1171"/>
      <c r="O1" s="1171"/>
      <c r="P1" s="1171"/>
      <c r="Q1" s="122"/>
      <c r="R1" s="176"/>
      <c r="T1" s="297"/>
      <c r="U1" s="298"/>
      <c r="V1" s="299"/>
      <c r="W1" s="300"/>
      <c r="X1" s="301"/>
      <c r="Y1" s="301"/>
    </row>
    <row r="2" spans="1:25" ht="15" x14ac:dyDescent="0.25">
      <c r="A2" s="1172" t="s">
        <v>176</v>
      </c>
      <c r="B2" s="1173"/>
      <c r="C2" s="1173"/>
      <c r="D2" s="1173"/>
      <c r="E2" s="1173"/>
      <c r="F2" s="1173"/>
      <c r="G2" s="1173"/>
      <c r="H2" s="1173"/>
      <c r="I2" s="1173"/>
      <c r="J2" s="1173"/>
      <c r="K2" s="1173"/>
      <c r="L2" s="1173"/>
      <c r="M2" s="1173"/>
      <c r="N2" s="1173"/>
      <c r="O2" s="1173"/>
      <c r="P2" s="1173"/>
      <c r="Q2" s="154"/>
      <c r="R2" s="280"/>
    </row>
    <row r="3" spans="1:25" ht="15" x14ac:dyDescent="0.25">
      <c r="A3" s="605"/>
      <c r="B3" s="1041"/>
      <c r="C3" s="1041"/>
      <c r="D3" s="1041"/>
      <c r="E3" s="1041"/>
      <c r="F3" s="1041"/>
      <c r="G3" s="1041"/>
      <c r="H3" s="1041"/>
      <c r="I3" s="1041"/>
      <c r="J3" s="1041"/>
      <c r="K3" s="1041"/>
      <c r="L3" s="1041"/>
      <c r="M3" s="1041"/>
      <c r="N3" s="1041"/>
      <c r="O3" s="1041"/>
      <c r="P3" s="1041"/>
      <c r="Q3" s="1041"/>
      <c r="R3" s="280"/>
    </row>
    <row r="4" spans="1:25" ht="15" x14ac:dyDescent="0.25">
      <c r="A4" s="281"/>
      <c r="B4" s="178" t="s">
        <v>183</v>
      </c>
      <c r="C4" s="1178">
        <f>'B_KZP_Allgemeine Angaben'!D12</f>
        <v>0</v>
      </c>
      <c r="D4" s="1178"/>
      <c r="E4" s="176"/>
      <c r="F4" s="154"/>
      <c r="G4" s="154"/>
      <c r="H4" s="154"/>
      <c r="I4" s="154"/>
      <c r="J4" s="154"/>
      <c r="K4" s="1041"/>
      <c r="L4" s="1041"/>
      <c r="M4" s="154"/>
      <c r="N4" s="178" t="s">
        <v>2</v>
      </c>
      <c r="O4" s="179"/>
      <c r="P4" s="1178" t="str">
        <f>IFERROR(TEXT('B_KZP_Allgemeine Angaben'!L6,"000  000  000"),"")</f>
        <v>000  000  000</v>
      </c>
      <c r="Q4" s="1180"/>
      <c r="R4" s="280"/>
    </row>
    <row r="5" spans="1:25" x14ac:dyDescent="0.2">
      <c r="A5" s="282"/>
      <c r="B5" s="175" t="s">
        <v>184</v>
      </c>
      <c r="C5" s="1179" t="str">
        <f>IF('B_KZP_Allgemeine Angaben'!D16&gt;0,CONCATENATE('B_KZP_Allgemeine Angaben'!D16," ",'B_KZP_Allgemeine Angaben'!J16),"")</f>
        <v/>
      </c>
      <c r="D5" s="1179"/>
      <c r="E5" s="177"/>
      <c r="F5" s="154"/>
      <c r="G5" s="154"/>
      <c r="H5" s="154"/>
      <c r="I5" s="154"/>
      <c r="J5" s="154"/>
      <c r="K5" s="154"/>
      <c r="L5" s="154"/>
      <c r="M5" s="154"/>
      <c r="N5" s="175" t="s">
        <v>177</v>
      </c>
      <c r="O5" s="180"/>
      <c r="P5" s="1181">
        <f>IFERROR('B_KZP_Allgemeine Angaben'!L4,"")</f>
        <v>0</v>
      </c>
      <c r="Q5" s="1182"/>
      <c r="R5" s="280"/>
    </row>
    <row r="6" spans="1:25" ht="9" customHeight="1" x14ac:dyDescent="0.2">
      <c r="A6" s="654"/>
      <c r="R6" s="19"/>
    </row>
    <row r="7" spans="1:25" x14ac:dyDescent="0.2">
      <c r="A7" s="20"/>
      <c r="B7" s="119" t="s">
        <v>503</v>
      </c>
      <c r="D7" s="348"/>
      <c r="H7" s="119" t="s">
        <v>26</v>
      </c>
      <c r="I7" s="600">
        <v>365</v>
      </c>
      <c r="K7" s="119" t="s">
        <v>1</v>
      </c>
      <c r="L7" s="112" t="str">
        <f>IF('B_KZP_Allgemeine Angaben'!D6&gt;0,'B_KZP_Allgemeine Angaben'!D6,"")</f>
        <v>Kurzzeitpflege</v>
      </c>
      <c r="M7" s="138"/>
      <c r="R7" s="19"/>
      <c r="T7" s="303"/>
    </row>
    <row r="8" spans="1:25" ht="14.25" customHeight="1" x14ac:dyDescent="0.25">
      <c r="A8" s="20"/>
      <c r="B8" s="144"/>
      <c r="C8" s="1042"/>
      <c r="D8" s="1043" t="str">
        <f>IF('B_KZP_Allgemeine Angaben'!H45="","",IF(KAT!E8&lt;12,"",IF(AND(KAT!E8&gt;=12,KAT!E8&lt;24),"Auslastungsquote bitte mit "&amp;TEXT(KAT!E4,"0 %")&amp;" angeben","Auslastungsquote kann mit 5 % unter der tatsächlichen Auslastung der letzten 24 Monate, mindestens jedoch mit "&amp;TEXT(KAT!E3,"0 %")&amp;" angegeben werden")))</f>
        <v/>
      </c>
      <c r="R8" s="19"/>
      <c r="T8" s="303"/>
    </row>
    <row r="9" spans="1:25" ht="14.25" customHeight="1" x14ac:dyDescent="0.25">
      <c r="A9" s="20"/>
      <c r="B9" s="144" t="str">
        <f>"Belegungstage letzte "&amp;TEXT(IF('B_KZP_Allgemeine Angaben'!K45-3&gt;24,24,'B_KZP_Allgemeine Angaben'!K45-3),"0")&amp;" Kalendermonate:"</f>
        <v>Belegungstage letzte -3 Kalendermonate:</v>
      </c>
      <c r="C9" s="1042"/>
      <c r="D9" s="626"/>
      <c r="R9" s="19"/>
      <c r="T9" s="303"/>
    </row>
    <row r="10" spans="1:25" ht="14.25" customHeight="1" x14ac:dyDescent="0.25">
      <c r="A10" s="20"/>
      <c r="B10" t="str">
        <f>"Auslastung letzte "&amp;TEXT(IF('B_KZP_Allgemeine Angaben'!K45-3&gt;24,24,'B_KZP_Allgemeine Angaben'!K45-3),"0")&amp;" Kalendermonate:"</f>
        <v>Auslastung letzte -3 Kalendermonate:</v>
      </c>
      <c r="C10" s="1042"/>
      <c r="D10" s="769" t="e">
        <f>D9/IF('B_KZP_Allgemeine Angaben'!K45-3&gt;24,24,'B_KZP_Allgemeine Angaben'!K45-3)*12/('B_KZP_Allgemeine Angaben'!L47*365)</f>
        <v>#DIV/0!</v>
      </c>
      <c r="R10" s="19"/>
      <c r="T10" s="303"/>
    </row>
    <row r="11" spans="1:25" ht="14.25" customHeight="1" x14ac:dyDescent="0.25">
      <c r="A11" s="20"/>
      <c r="C11" s="1042"/>
      <c r="R11" s="19"/>
      <c r="T11" s="303"/>
    </row>
    <row r="12" spans="1:25" ht="15" x14ac:dyDescent="0.25">
      <c r="A12" s="20"/>
      <c r="B12" s="58" t="s">
        <v>238</v>
      </c>
      <c r="F12" s="127"/>
      <c r="H12" s="120" t="s">
        <v>237</v>
      </c>
      <c r="I12" s="21"/>
      <c r="J12" s="21"/>
      <c r="K12" s="21"/>
      <c r="L12" s="21"/>
      <c r="M12" s="21"/>
      <c r="N12" s="21"/>
      <c r="O12" s="21"/>
      <c r="P12" s="21"/>
      <c r="Q12" s="21"/>
      <c r="R12" s="94"/>
      <c r="T12" s="303"/>
      <c r="U12" s="303"/>
    </row>
    <row r="13" spans="1:25" ht="5.25" customHeight="1" x14ac:dyDescent="0.2">
      <c r="A13" s="20"/>
      <c r="D13" s="1044"/>
      <c r="H13" s="20"/>
      <c r="J13" s="1044"/>
      <c r="R13" s="19"/>
    </row>
    <row r="14" spans="1:25" x14ac:dyDescent="0.2">
      <c r="A14" s="20"/>
      <c r="B14" t="s">
        <v>173</v>
      </c>
      <c r="C14" s="1040" t="s">
        <v>146</v>
      </c>
      <c r="D14" s="174">
        <f>'B_KZP_Allgemeine Angaben'!H53</f>
        <v>0</v>
      </c>
      <c r="E14" s="1040" t="s">
        <v>101</v>
      </c>
      <c r="F14" s="174">
        <f>'B_KZP_Allgemeine Angaben'!K53</f>
        <v>0</v>
      </c>
      <c r="H14" s="20" t="s">
        <v>173</v>
      </c>
      <c r="I14" s="1040" t="s">
        <v>146</v>
      </c>
      <c r="J14" s="121" t="str">
        <f>IF('B_KZP_Allgemeine Angaben'!H51=0,"",'B_KZP_Allgemeine Angaben'!H51)</f>
        <v/>
      </c>
      <c r="K14" s="1040" t="s">
        <v>101</v>
      </c>
      <c r="L14" s="121">
        <f>IF('B_KZP_Allgemeine Angaben'!K51=0,0,'B_KZP_Allgemeine Angaben'!K51)</f>
        <v>0</v>
      </c>
      <c r="R14" s="19"/>
      <c r="T14" s="303"/>
    </row>
    <row r="15" spans="1:25" ht="9.9499999999999993" customHeight="1" x14ac:dyDescent="0.2">
      <c r="A15" s="118"/>
      <c r="B15" s="1045"/>
      <c r="C15" s="1045"/>
      <c r="D15" s="1045"/>
      <c r="E15" s="1045"/>
      <c r="F15" s="117"/>
      <c r="G15" s="1045"/>
      <c r="H15" s="118"/>
      <c r="I15" s="1045"/>
      <c r="J15" s="1045"/>
      <c r="K15" s="1045"/>
      <c r="L15" s="1045"/>
      <c r="R15" s="19"/>
    </row>
    <row r="16" spans="1:25" x14ac:dyDescent="0.2">
      <c r="A16" s="118"/>
      <c r="B16" s="113" t="s">
        <v>330</v>
      </c>
      <c r="C16" s="114"/>
      <c r="D16" s="114"/>
      <c r="E16" s="102" t="s">
        <v>149</v>
      </c>
      <c r="F16" s="112">
        <f>SUM(B18:F18)</f>
        <v>0</v>
      </c>
      <c r="G16" s="20"/>
      <c r="H16" s="113" t="s">
        <v>330</v>
      </c>
      <c r="I16" s="114"/>
      <c r="J16" s="114"/>
      <c r="K16" s="102" t="s">
        <v>149</v>
      </c>
      <c r="L16" s="102">
        <f>SUM(H18:L18)</f>
        <v>0</v>
      </c>
      <c r="M16" s="527"/>
      <c r="N16" s="226"/>
      <c r="O16" s="127"/>
      <c r="P16" s="127"/>
      <c r="Q16" s="127"/>
      <c r="R16" s="128"/>
    </row>
    <row r="17" spans="1:29" ht="15" x14ac:dyDescent="0.25">
      <c r="A17" s="118"/>
      <c r="B17" s="115" t="s">
        <v>46</v>
      </c>
      <c r="C17" s="115" t="s">
        <v>47</v>
      </c>
      <c r="D17" s="115" t="s">
        <v>48</v>
      </c>
      <c r="E17" s="115" t="s">
        <v>49</v>
      </c>
      <c r="F17" s="116" t="s">
        <v>50</v>
      </c>
      <c r="G17" s="20"/>
      <c r="H17" s="115" t="s">
        <v>46</v>
      </c>
      <c r="I17" s="115" t="s">
        <v>47</v>
      </c>
      <c r="J17" s="115" t="s">
        <v>48</v>
      </c>
      <c r="K17" s="115" t="s">
        <v>49</v>
      </c>
      <c r="L17" s="115" t="s">
        <v>50</v>
      </c>
      <c r="O17" s="127"/>
      <c r="P17" s="127"/>
      <c r="Q17" s="127"/>
      <c r="R17" s="128"/>
      <c r="T17" s="627"/>
    </row>
    <row r="18" spans="1:29" x14ac:dyDescent="0.2">
      <c r="A18" s="118"/>
      <c r="B18" s="187"/>
      <c r="C18" s="187"/>
      <c r="D18" s="187"/>
      <c r="E18" s="187"/>
      <c r="F18" s="188"/>
      <c r="G18" s="20"/>
      <c r="H18" s="97">
        <f>B18</f>
        <v>0</v>
      </c>
      <c r="I18" s="97">
        <f t="shared" ref="I18:L18" si="0">C18</f>
        <v>0</v>
      </c>
      <c r="J18" s="97">
        <f t="shared" si="0"/>
        <v>0</v>
      </c>
      <c r="K18" s="97">
        <f t="shared" si="0"/>
        <v>0</v>
      </c>
      <c r="L18" s="97">
        <f t="shared" si="0"/>
        <v>0</v>
      </c>
      <c r="O18" s="127"/>
      <c r="P18" s="127"/>
      <c r="Q18" s="127"/>
      <c r="R18" s="128"/>
    </row>
    <row r="19" spans="1:29" x14ac:dyDescent="0.2">
      <c r="A19" s="118"/>
      <c r="B19" s="760" t="str">
        <f>IF(F16&lt;&gt;'B_KZP_Allgemeine Angaben'!L47,"Prognose entspricht nicht Platzzahl!","")</f>
        <v/>
      </c>
      <c r="C19" s="127"/>
      <c r="D19" s="127"/>
      <c r="E19" s="127"/>
      <c r="F19" s="127"/>
      <c r="H19" s="127"/>
      <c r="I19" s="127"/>
      <c r="J19" s="127"/>
      <c r="K19" s="127"/>
      <c r="L19" s="127"/>
      <c r="O19" s="127"/>
      <c r="P19" s="127"/>
      <c r="Q19" s="127"/>
      <c r="R19" s="128"/>
    </row>
    <row r="20" spans="1:29" ht="18.75" customHeight="1" x14ac:dyDescent="0.25">
      <c r="A20" s="118"/>
      <c r="I20" s="1046"/>
      <c r="J20" s="1047"/>
      <c r="K20" s="1047"/>
      <c r="M20" s="1048"/>
      <c r="N20" s="1049"/>
      <c r="O20" s="1142" t="s">
        <v>242</v>
      </c>
      <c r="P20" s="1143"/>
      <c r="Q20" s="1143"/>
      <c r="R20" s="1144"/>
      <c r="V20" s="1139"/>
      <c r="W20" s="1139"/>
      <c r="X20" s="1139"/>
      <c r="Y20" s="1139"/>
    </row>
    <row r="21" spans="1:29" ht="51.75" customHeight="1" x14ac:dyDescent="0.2">
      <c r="A21" s="118"/>
      <c r="B21" s="318" t="s">
        <v>151</v>
      </c>
      <c r="C21" s="526" t="s">
        <v>448</v>
      </c>
      <c r="D21" s="762" t="s">
        <v>150</v>
      </c>
      <c r="E21" s="649" t="s">
        <v>147</v>
      </c>
      <c r="F21" s="510" t="s">
        <v>354</v>
      </c>
      <c r="H21" s="775" t="s">
        <v>151</v>
      </c>
      <c r="I21" s="526" t="s">
        <v>448</v>
      </c>
      <c r="J21" s="650" t="s">
        <v>150</v>
      </c>
      <c r="K21" s="649" t="s">
        <v>147</v>
      </c>
      <c r="L21" s="509" t="s">
        <v>354</v>
      </c>
      <c r="M21" s="525" t="s">
        <v>336</v>
      </c>
      <c r="N21" s="1050"/>
      <c r="O21" s="1183" t="s">
        <v>473</v>
      </c>
      <c r="P21" s="1184"/>
      <c r="Q21" s="1184"/>
      <c r="R21" s="1185"/>
      <c r="T21" s="629"/>
      <c r="U21" s="630"/>
      <c r="V21" s="630"/>
      <c r="W21" s="631"/>
      <c r="X21" s="631"/>
      <c r="Y21" s="631"/>
    </row>
    <row r="22" spans="1:29" ht="13.9" customHeight="1" x14ac:dyDescent="0.2">
      <c r="A22" s="118"/>
      <c r="B22" s="99"/>
      <c r="C22" s="645"/>
      <c r="D22" s="771"/>
      <c r="F22" s="770"/>
      <c r="G22" s="20"/>
      <c r="H22" s="110" t="s">
        <v>175</v>
      </c>
      <c r="I22" s="776" t="str">
        <f>IFERROR(L16/J22,"")</f>
        <v/>
      </c>
      <c r="J22" s="773"/>
      <c r="K22" s="788" t="str">
        <f>IF(J22&gt;KAT!C11,"(max. "&amp;TEXT(KAT!C11,"0,0000")&amp;" VK)","PDL/stellv. PDL")</f>
        <v>PDL/stellv. PDL</v>
      </c>
      <c r="L22" s="784">
        <f>IF(J22&gt;0,IF('B_KZP_Allgemeine Angaben'!N58=1,'B_KZP_Berechnung rüE'!J16,L23),0)</f>
        <v>0</v>
      </c>
      <c r="M22" s="768"/>
      <c r="N22" s="647"/>
      <c r="O22" s="1145"/>
      <c r="P22" s="1146"/>
      <c r="Q22" s="1146"/>
      <c r="R22" s="1147"/>
    </row>
    <row r="23" spans="1:29" x14ac:dyDescent="0.2">
      <c r="A23" s="118"/>
      <c r="B23" s="110" t="s">
        <v>322</v>
      </c>
      <c r="C23" s="774"/>
      <c r="D23" s="780">
        <f>IFERROR($F$16/C23,0)</f>
        <v>0</v>
      </c>
      <c r="F23" s="189"/>
      <c r="G23" s="20"/>
      <c r="H23" s="110" t="s">
        <v>322</v>
      </c>
      <c r="I23" s="776" t="e">
        <f>L16/J23</f>
        <v>#DIV/0!</v>
      </c>
      <c r="J23" s="778">
        <f>IF(J24&lt;&gt;0,MIN(J24,D23+D24-J22),D23+D24-J22)</f>
        <v>0</v>
      </c>
      <c r="K23" s="781" t="s">
        <v>322</v>
      </c>
      <c r="L23" s="782">
        <f>IF('B_KZP_Allgemeine Angaben'!$N$58=1,'B_KZP_Berechnung rüE'!J19,KAT!F67*(1+M23))</f>
        <v>0</v>
      </c>
      <c r="M23" s="338"/>
      <c r="N23" s="647"/>
      <c r="O23" s="1148"/>
      <c r="P23" s="1149"/>
      <c r="Q23" s="1149"/>
      <c r="R23" s="1150"/>
    </row>
    <row r="24" spans="1:29" x14ac:dyDescent="0.2">
      <c r="A24" s="118"/>
      <c r="B24" s="110" t="s">
        <v>450</v>
      </c>
      <c r="C24" s="774"/>
      <c r="D24" s="780">
        <f>IFERROR($F$16/C24,0)</f>
        <v>0</v>
      </c>
      <c r="F24" s="189"/>
      <c r="G24" s="20"/>
      <c r="H24" s="1157" t="s">
        <v>465</v>
      </c>
      <c r="I24" s="1158"/>
      <c r="J24" s="773"/>
      <c r="K24" s="781"/>
      <c r="L24" s="783"/>
      <c r="M24" s="772"/>
      <c r="N24" s="647"/>
      <c r="O24" s="1148"/>
      <c r="P24" s="1149"/>
      <c r="Q24" s="1149"/>
      <c r="R24" s="1150"/>
    </row>
    <row r="25" spans="1:29" ht="42.75" x14ac:dyDescent="0.2">
      <c r="A25" s="118"/>
      <c r="B25" s="111" t="s">
        <v>358</v>
      </c>
      <c r="C25" s="104">
        <v>20</v>
      </c>
      <c r="D25" s="780">
        <f t="shared" ref="D25:D29" si="1">IFERROR($F$16/C25,0)</f>
        <v>0</v>
      </c>
      <c r="E25" s="464" t="s">
        <v>148</v>
      </c>
      <c r="F25" s="189"/>
      <c r="G25" s="339"/>
      <c r="H25" s="111" t="s">
        <v>358</v>
      </c>
      <c r="I25" s="777">
        <v>20</v>
      </c>
      <c r="J25" s="778">
        <f>IFERROR($L$16/I25,"")</f>
        <v>0</v>
      </c>
      <c r="K25" s="464" t="s">
        <v>358</v>
      </c>
      <c r="L25" s="782">
        <f>IF('B_KZP_Allgemeine Angaben'!$N$58=1,'B_KZP_Berechnung rüE'!J25,F25*(1+M25))</f>
        <v>0</v>
      </c>
      <c r="M25" s="338"/>
      <c r="N25" s="646"/>
      <c r="O25" s="1148"/>
      <c r="P25" s="1149"/>
      <c r="Q25" s="1149"/>
      <c r="R25" s="1150"/>
    </row>
    <row r="26" spans="1:29" x14ac:dyDescent="0.2">
      <c r="A26" s="118"/>
      <c r="B26" s="439" t="s">
        <v>425</v>
      </c>
      <c r="C26" s="774"/>
      <c r="D26" s="780">
        <f t="shared" si="1"/>
        <v>0</v>
      </c>
      <c r="E26" s="761" t="str">
        <f t="shared" ref="E26:E28" si="2">B26</f>
        <v>Leitung / Verwaltung</v>
      </c>
      <c r="F26" s="189"/>
      <c r="G26" s="339"/>
      <c r="H26" s="439" t="s">
        <v>425</v>
      </c>
      <c r="I26" s="777">
        <f>C26</f>
        <v>0</v>
      </c>
      <c r="J26" s="778">
        <f>IFERROR($L$16/I26,0)</f>
        <v>0</v>
      </c>
      <c r="K26" s="781" t="s">
        <v>425</v>
      </c>
      <c r="L26" s="784">
        <f>IF(F26=0,0,F26*M26+F26)</f>
        <v>0</v>
      </c>
      <c r="M26" s="338"/>
      <c r="N26" s="646"/>
      <c r="O26" s="1148"/>
      <c r="P26" s="1149"/>
      <c r="Q26" s="1149"/>
      <c r="R26" s="1150"/>
      <c r="T26" s="303"/>
    </row>
    <row r="27" spans="1:29" ht="28.5" x14ac:dyDescent="0.2">
      <c r="A27" s="118"/>
      <c r="B27" s="110" t="s">
        <v>51</v>
      </c>
      <c r="C27" s="774"/>
      <c r="D27" s="780">
        <f t="shared" si="1"/>
        <v>0</v>
      </c>
      <c r="E27" s="761" t="str">
        <f t="shared" si="2"/>
        <v>Hauswirtschaft</v>
      </c>
      <c r="F27" s="189"/>
      <c r="G27" s="339"/>
      <c r="H27" s="111" t="s">
        <v>396</v>
      </c>
      <c r="I27" s="801">
        <f>IF(J28&lt;&gt;"",MAX(KAT!E74,'B_KZP_Allgemeine Angaben'!L47/J28),KAT!E74)</f>
        <v>0</v>
      </c>
      <c r="J27" s="778">
        <f>IFERROR($L$16/I27,0)</f>
        <v>0</v>
      </c>
      <c r="K27" s="464" t="str">
        <f t="shared" ref="K27" si="3">H27</f>
        <v>Hauswirtschaft/ Küche/ Haustechnik</v>
      </c>
      <c r="L27" s="784">
        <f>IF(KAT!F74=0,0,KAT!F74*M27+KAT!F74)</f>
        <v>0</v>
      </c>
      <c r="M27" s="338"/>
      <c r="N27" s="646"/>
      <c r="O27" s="1148"/>
      <c r="P27" s="1149"/>
      <c r="Q27" s="1149"/>
      <c r="R27" s="1150"/>
    </row>
    <row r="28" spans="1:29" x14ac:dyDescent="0.2">
      <c r="A28" s="118"/>
      <c r="B28" s="110" t="s">
        <v>28</v>
      </c>
      <c r="C28" s="774"/>
      <c r="D28" s="780">
        <f t="shared" si="1"/>
        <v>0</v>
      </c>
      <c r="E28" s="761" t="str">
        <f t="shared" si="2"/>
        <v>Küche</v>
      </c>
      <c r="F28" s="189"/>
      <c r="G28" s="339"/>
      <c r="H28" s="1157" t="s">
        <v>466</v>
      </c>
      <c r="I28" s="1158"/>
      <c r="J28" s="773"/>
      <c r="L28" s="783"/>
      <c r="M28" s="648"/>
      <c r="N28" s="646"/>
      <c r="O28" s="1148"/>
      <c r="P28" s="1149"/>
      <c r="Q28" s="1149"/>
      <c r="R28" s="1150"/>
      <c r="T28" s="303"/>
    </row>
    <row r="29" spans="1:29" x14ac:dyDescent="0.2">
      <c r="A29" s="118"/>
      <c r="B29" s="110" t="s">
        <v>29</v>
      </c>
      <c r="C29" s="774"/>
      <c r="D29" s="780">
        <f t="shared" si="1"/>
        <v>0</v>
      </c>
      <c r="E29" s="464" t="str">
        <f>B29</f>
        <v>Haustechnik</v>
      </c>
      <c r="F29" s="189"/>
      <c r="G29" s="339"/>
      <c r="H29" s="141"/>
      <c r="I29" s="645"/>
      <c r="J29" s="779"/>
      <c r="K29" s="785"/>
      <c r="L29" s="783"/>
      <c r="M29" s="648"/>
      <c r="N29" s="646"/>
      <c r="O29" s="1148"/>
      <c r="P29" s="1149"/>
      <c r="Q29" s="1149"/>
      <c r="R29" s="1150"/>
    </row>
    <row r="30" spans="1:29" ht="29.25" customHeight="1" x14ac:dyDescent="0.25">
      <c r="A30" s="118"/>
      <c r="B30" s="1175" t="s">
        <v>346</v>
      </c>
      <c r="C30" s="1176"/>
      <c r="D30" s="818"/>
      <c r="E30" s="464" t="str">
        <f>B30</f>
        <v>Freiwillige Dienste/ FSJ Einsatz</v>
      </c>
      <c r="F30" s="190"/>
      <c r="G30" s="339"/>
      <c r="H30" s="1175" t="s">
        <v>345</v>
      </c>
      <c r="I30" s="1177"/>
      <c r="J30" s="818"/>
      <c r="K30" s="786" t="str">
        <f>H30</f>
        <v>Freiwillige Dienste/FSJ Einsatz</v>
      </c>
      <c r="L30" s="787">
        <f>IF(OR(F30=0,J30=0),0,F30*M30+F30)</f>
        <v>0</v>
      </c>
      <c r="M30" s="338"/>
      <c r="N30" s="295"/>
      <c r="O30" s="1148"/>
      <c r="P30" s="1149"/>
      <c r="Q30" s="1149"/>
      <c r="R30" s="1150"/>
      <c r="T30" s="316" t="s">
        <v>263</v>
      </c>
      <c r="U30" s="308"/>
      <c r="V30" s="308"/>
      <c r="W30" s="308"/>
    </row>
    <row r="31" spans="1:29" ht="13.9" customHeight="1" x14ac:dyDescent="0.2">
      <c r="A31" s="118"/>
      <c r="O31" s="1151"/>
      <c r="P31" s="1152"/>
      <c r="Q31" s="1152"/>
      <c r="R31" s="1153"/>
      <c r="T31" s="1141" t="s">
        <v>277</v>
      </c>
      <c r="U31" s="1141"/>
      <c r="V31" s="1141"/>
      <c r="W31" s="1141"/>
      <c r="X31" s="1141"/>
      <c r="Y31" s="1141"/>
      <c r="Z31" s="1141"/>
      <c r="AA31" s="1141"/>
      <c r="AB31" s="1141"/>
      <c r="AC31" s="1141"/>
    </row>
    <row r="32" spans="1:29" ht="3" customHeight="1" x14ac:dyDescent="0.2">
      <c r="A32" s="118"/>
      <c r="R32" s="19"/>
      <c r="T32" s="1141"/>
      <c r="U32" s="1141"/>
      <c r="V32" s="1141"/>
      <c r="W32" s="1141"/>
      <c r="X32" s="1141"/>
      <c r="Y32" s="1141"/>
      <c r="Z32" s="1141"/>
      <c r="AA32" s="1141"/>
      <c r="AB32" s="1141"/>
      <c r="AC32" s="1141"/>
    </row>
    <row r="33" spans="1:30" ht="15" customHeight="1" x14ac:dyDescent="0.25">
      <c r="A33" s="283"/>
      <c r="B33" s="134" t="s">
        <v>74</v>
      </c>
      <c r="C33" s="135"/>
      <c r="D33" s="135"/>
      <c r="E33" s="135"/>
      <c r="F33" s="534" t="s">
        <v>353</v>
      </c>
      <c r="H33" s="134" t="s">
        <v>74</v>
      </c>
      <c r="I33" s="135"/>
      <c r="J33" s="135"/>
      <c r="K33" s="135"/>
      <c r="L33" s="534" t="s">
        <v>353</v>
      </c>
      <c r="M33" s="317"/>
      <c r="N33" s="296"/>
      <c r="O33" s="1154" t="s">
        <v>243</v>
      </c>
      <c r="P33" s="1155"/>
      <c r="Q33" s="1155"/>
      <c r="R33" s="1156"/>
      <c r="T33" s="1141"/>
      <c r="U33" s="1141"/>
      <c r="V33" s="1141"/>
      <c r="W33" s="1141"/>
      <c r="X33" s="1141"/>
      <c r="Y33" s="1141"/>
      <c r="Z33" s="1141"/>
      <c r="AA33" s="1141"/>
      <c r="AB33" s="1141"/>
      <c r="AC33" s="1141"/>
    </row>
    <row r="34" spans="1:30" ht="14.25" customHeight="1" x14ac:dyDescent="0.2">
      <c r="A34" s="284"/>
      <c r="B34" s="123" t="s">
        <v>155</v>
      </c>
      <c r="C34" s="99" t="s">
        <v>33</v>
      </c>
      <c r="D34" s="95"/>
      <c r="E34" s="100"/>
      <c r="F34" s="191"/>
      <c r="G34" s="20"/>
      <c r="H34" s="651" t="s">
        <v>155</v>
      </c>
      <c r="I34" s="99" t="s">
        <v>33</v>
      </c>
      <c r="K34" s="19"/>
      <c r="L34" s="418">
        <f>IF($M$33&lt;&gt;0,F34*(100%+$M$33),F34)</f>
        <v>0</v>
      </c>
      <c r="M34" s="759" t="str">
        <f>(IFERROR(L34/B_KZP_Gesamtkalkulation!$K$6,""))</f>
        <v/>
      </c>
      <c r="N34" s="173"/>
      <c r="O34" s="1145"/>
      <c r="P34" s="1146"/>
      <c r="Q34" s="1146"/>
      <c r="R34" s="1147"/>
      <c r="T34" s="307"/>
      <c r="U34" s="306"/>
      <c r="V34" s="306"/>
      <c r="W34" s="306"/>
    </row>
    <row r="35" spans="1:30" ht="15" x14ac:dyDescent="0.25">
      <c r="A35" s="285"/>
      <c r="B35" s="124" t="s">
        <v>156</v>
      </c>
      <c r="C35" s="99" t="s">
        <v>153</v>
      </c>
      <c r="D35" s="95"/>
      <c r="E35" s="100"/>
      <c r="F35" s="191"/>
      <c r="G35" s="20"/>
      <c r="H35" s="652" t="s">
        <v>156</v>
      </c>
      <c r="I35" s="99" t="s">
        <v>153</v>
      </c>
      <c r="J35" s="95"/>
      <c r="K35" s="100"/>
      <c r="L35" s="418">
        <f t="shared" ref="L35:L43" si="4">IF($M$33&lt;&gt;0,F35*(100%+$M$33),F35)</f>
        <v>0</v>
      </c>
      <c r="M35" s="759" t="str">
        <f>(IFERROR(L35/B_KZP_Gesamtkalkulation!$K$6,""))</f>
        <v/>
      </c>
      <c r="N35" s="173"/>
      <c r="O35" s="1148"/>
      <c r="P35" s="1149"/>
      <c r="Q35" s="1149"/>
      <c r="R35" s="1150"/>
      <c r="T35" s="309" t="s">
        <v>273</v>
      </c>
    </row>
    <row r="36" spans="1:30" ht="13.9" customHeight="1" x14ac:dyDescent="0.2">
      <c r="A36" s="285"/>
      <c r="B36" s="124" t="s">
        <v>157</v>
      </c>
      <c r="C36" s="99" t="s">
        <v>344</v>
      </c>
      <c r="D36" s="95"/>
      <c r="E36" s="100"/>
      <c r="F36" s="191"/>
      <c r="G36" s="20"/>
      <c r="H36" s="652" t="s">
        <v>157</v>
      </c>
      <c r="I36" s="99" t="s">
        <v>344</v>
      </c>
      <c r="J36" s="95"/>
      <c r="K36" s="100"/>
      <c r="L36" s="418">
        <f t="shared" si="4"/>
        <v>0</v>
      </c>
      <c r="M36" s="759" t="str">
        <f>(IFERROR(L36/B_KZP_Gesamtkalkulation!$K$6,""))</f>
        <v/>
      </c>
      <c r="N36" s="173"/>
      <c r="O36" s="1148"/>
      <c r="P36" s="1149"/>
      <c r="Q36" s="1149"/>
      <c r="R36" s="1150"/>
      <c r="T36" s="1140"/>
      <c r="U36" s="1140"/>
      <c r="V36" s="1140"/>
      <c r="W36" s="1140"/>
      <c r="X36" s="1140"/>
      <c r="Y36" s="1140"/>
      <c r="Z36" s="1140"/>
      <c r="AA36" s="1140"/>
      <c r="AB36" s="1140"/>
      <c r="AC36" s="1140"/>
      <c r="AD36" s="1140"/>
    </row>
    <row r="37" spans="1:30" ht="13.9" customHeight="1" x14ac:dyDescent="0.2">
      <c r="A37" s="285"/>
      <c r="B37" s="124" t="s">
        <v>158</v>
      </c>
      <c r="C37" s="20" t="s">
        <v>406</v>
      </c>
      <c r="E37" s="19"/>
      <c r="F37" s="191"/>
      <c r="G37" s="20"/>
      <c r="H37" s="652" t="s">
        <v>158</v>
      </c>
      <c r="I37" s="20" t="s">
        <v>406</v>
      </c>
      <c r="J37" s="95"/>
      <c r="K37" s="100"/>
      <c r="L37" s="418">
        <f t="shared" ref="L37:L38" si="5">IF($M$33&lt;&gt;0,F37*(100%+$M$33),F37)</f>
        <v>0</v>
      </c>
      <c r="M37" s="759" t="str">
        <f>(IFERROR(L37/B_KZP_Gesamtkalkulation!$K$6,""))</f>
        <v/>
      </c>
      <c r="N37" s="173"/>
      <c r="O37" s="1148"/>
      <c r="P37" s="1149"/>
      <c r="Q37" s="1149"/>
      <c r="R37" s="1150"/>
      <c r="T37" s="621"/>
      <c r="U37" s="621"/>
      <c r="V37" s="621"/>
      <c r="W37" s="621"/>
      <c r="X37" s="621"/>
      <c r="Y37" s="621"/>
      <c r="Z37" s="621"/>
      <c r="AA37" s="621"/>
      <c r="AB37" s="621"/>
      <c r="AC37" s="621"/>
      <c r="AD37" s="621"/>
    </row>
    <row r="38" spans="1:30" ht="13.9" customHeight="1" x14ac:dyDescent="0.2">
      <c r="A38" s="285"/>
      <c r="B38" s="124" t="s">
        <v>159</v>
      </c>
      <c r="C38" s="99" t="s">
        <v>407</v>
      </c>
      <c r="D38" s="95"/>
      <c r="E38" s="100"/>
      <c r="F38" s="191"/>
      <c r="G38" s="20"/>
      <c r="H38" s="652" t="s">
        <v>159</v>
      </c>
      <c r="I38" s="99" t="s">
        <v>407</v>
      </c>
      <c r="J38" s="95"/>
      <c r="K38" s="100"/>
      <c r="L38" s="418">
        <f t="shared" si="5"/>
        <v>0</v>
      </c>
      <c r="M38" s="759" t="str">
        <f>(IFERROR(L38/B_KZP_Gesamtkalkulation!$K$6,""))</f>
        <v/>
      </c>
      <c r="N38" s="173"/>
      <c r="O38" s="1148"/>
      <c r="P38" s="1149"/>
      <c r="Q38" s="1149"/>
      <c r="R38" s="1150"/>
      <c r="T38" s="621"/>
      <c r="U38" s="621"/>
      <c r="V38" s="621"/>
      <c r="W38" s="621"/>
      <c r="X38" s="621"/>
      <c r="Y38" s="621"/>
      <c r="Z38" s="621"/>
      <c r="AA38" s="621"/>
      <c r="AB38" s="621"/>
      <c r="AC38" s="621"/>
      <c r="AD38" s="621"/>
    </row>
    <row r="39" spans="1:30" x14ac:dyDescent="0.2">
      <c r="A39" s="285"/>
      <c r="B39" s="124" t="s">
        <v>160</v>
      </c>
      <c r="C39" s="20" t="s">
        <v>37</v>
      </c>
      <c r="E39" s="19"/>
      <c r="F39" s="191"/>
      <c r="G39" s="20"/>
      <c r="H39" s="652" t="s">
        <v>160</v>
      </c>
      <c r="I39" s="20" t="s">
        <v>37</v>
      </c>
      <c r="J39" s="95"/>
      <c r="K39" s="100"/>
      <c r="L39" s="418">
        <f t="shared" si="4"/>
        <v>0</v>
      </c>
      <c r="M39" s="759" t="str">
        <f>(IFERROR(L39/B_KZP_Gesamtkalkulation!$K$6,""))</f>
        <v/>
      </c>
      <c r="N39" s="173"/>
      <c r="O39" s="1148"/>
      <c r="P39" s="1149"/>
      <c r="Q39" s="1149"/>
      <c r="R39" s="1150"/>
      <c r="T39" s="302" t="s">
        <v>265</v>
      </c>
    </row>
    <row r="40" spans="1:30" x14ac:dyDescent="0.2">
      <c r="A40" s="285"/>
      <c r="B40" s="124" t="s">
        <v>161</v>
      </c>
      <c r="C40" s="99" t="s">
        <v>39</v>
      </c>
      <c r="D40" s="95"/>
      <c r="E40" s="100"/>
      <c r="F40" s="191"/>
      <c r="G40" s="20"/>
      <c r="H40" s="652" t="s">
        <v>161</v>
      </c>
      <c r="I40" s="99" t="s">
        <v>39</v>
      </c>
      <c r="K40" s="19"/>
      <c r="L40" s="418">
        <f t="shared" si="4"/>
        <v>0</v>
      </c>
      <c r="M40" s="759" t="str">
        <f>(IFERROR(L40/B_KZP_Gesamtkalkulation!$K$6,""))</f>
        <v/>
      </c>
      <c r="N40" s="173"/>
      <c r="O40" s="1148"/>
      <c r="P40" s="1149"/>
      <c r="Q40" s="1149"/>
      <c r="R40" s="1150"/>
      <c r="T40" s="302" t="s">
        <v>264</v>
      </c>
    </row>
    <row r="41" spans="1:30" x14ac:dyDescent="0.2">
      <c r="A41" s="285"/>
      <c r="B41" s="124" t="s">
        <v>162</v>
      </c>
      <c r="C41" s="20" t="s">
        <v>41</v>
      </c>
      <c r="E41" s="19"/>
      <c r="F41" s="191"/>
      <c r="G41" s="20"/>
      <c r="H41" s="652" t="s">
        <v>162</v>
      </c>
      <c r="I41" s="20" t="s">
        <v>41</v>
      </c>
      <c r="J41" s="95"/>
      <c r="K41" s="100"/>
      <c r="L41" s="418">
        <f t="shared" si="4"/>
        <v>0</v>
      </c>
      <c r="M41" s="759" t="str">
        <f>(IFERROR(L41/B_KZP_Gesamtkalkulation!$K$6,""))</f>
        <v/>
      </c>
      <c r="N41" s="173"/>
      <c r="O41" s="1148"/>
      <c r="P41" s="1149"/>
      <c r="Q41" s="1149"/>
      <c r="R41" s="1150"/>
    </row>
    <row r="42" spans="1:30" ht="15" x14ac:dyDescent="0.25">
      <c r="A42" s="285"/>
      <c r="B42" s="124" t="s">
        <v>404</v>
      </c>
      <c r="C42" s="99" t="s">
        <v>43</v>
      </c>
      <c r="D42" s="95"/>
      <c r="E42" s="100"/>
      <c r="F42" s="191"/>
      <c r="G42" s="20"/>
      <c r="H42" s="652" t="s">
        <v>404</v>
      </c>
      <c r="I42" s="99" t="s">
        <v>43</v>
      </c>
      <c r="K42" s="19"/>
      <c r="L42" s="418">
        <f t="shared" si="4"/>
        <v>0</v>
      </c>
      <c r="M42" s="759" t="str">
        <f>(IFERROR(L42/B_KZP_Gesamtkalkulation!$K$6,""))</f>
        <v/>
      </c>
      <c r="N42" s="173"/>
      <c r="O42" s="1148"/>
      <c r="P42" s="1149"/>
      <c r="Q42" s="1149"/>
      <c r="R42" s="1150"/>
      <c r="T42" s="310" t="s">
        <v>267</v>
      </c>
    </row>
    <row r="43" spans="1:30" x14ac:dyDescent="0.2">
      <c r="A43" s="285"/>
      <c r="B43" s="124" t="s">
        <v>405</v>
      </c>
      <c r="C43" s="101" t="s">
        <v>45</v>
      </c>
      <c r="E43" s="19"/>
      <c r="F43" s="191"/>
      <c r="G43" s="20"/>
      <c r="H43" s="652" t="s">
        <v>405</v>
      </c>
      <c r="I43" s="101" t="s">
        <v>45</v>
      </c>
      <c r="J43" s="95"/>
      <c r="K43" s="100"/>
      <c r="L43" s="418">
        <f t="shared" si="4"/>
        <v>0</v>
      </c>
      <c r="M43" s="759" t="str">
        <f>(IFERROR(L43/B_KZP_Gesamtkalkulation!$K$6,""))</f>
        <v/>
      </c>
      <c r="N43" s="173"/>
      <c r="O43" s="1148"/>
      <c r="P43" s="1149"/>
      <c r="Q43" s="1149"/>
      <c r="R43" s="1150"/>
      <c r="T43" s="315" t="s">
        <v>268</v>
      </c>
      <c r="U43" s="315"/>
      <c r="V43" s="315"/>
      <c r="W43" s="315" t="s">
        <v>269</v>
      </c>
    </row>
    <row r="44" spans="1:30" x14ac:dyDescent="0.2">
      <c r="A44" s="285"/>
      <c r="B44" s="99"/>
      <c r="C44" s="95" t="s">
        <v>154</v>
      </c>
      <c r="D44" s="95"/>
      <c r="E44" s="100"/>
      <c r="F44" s="106">
        <f>SUM(F34:F43)</f>
        <v>0</v>
      </c>
      <c r="G44" s="20"/>
      <c r="H44" s="97"/>
      <c r="I44" s="80" t="s">
        <v>154</v>
      </c>
      <c r="J44" s="80"/>
      <c r="K44" s="80"/>
      <c r="L44" s="419">
        <f>SUM(L34:L43)</f>
        <v>0</v>
      </c>
      <c r="M44" s="345">
        <f>SUM(M34:M43)</f>
        <v>0</v>
      </c>
      <c r="N44" s="173"/>
      <c r="O44" s="1148"/>
      <c r="P44" s="1149"/>
      <c r="Q44" s="1149"/>
      <c r="R44" s="1150"/>
      <c r="U44" s="312">
        <v>0</v>
      </c>
      <c r="V44" s="312" t="s">
        <v>274</v>
      </c>
      <c r="W44" s="314">
        <v>0</v>
      </c>
    </row>
    <row r="45" spans="1:30" ht="3" customHeight="1" x14ac:dyDescent="0.2">
      <c r="A45" s="118"/>
      <c r="H45" s="20"/>
      <c r="L45" s="420"/>
      <c r="M45" s="287"/>
      <c r="O45" s="1151"/>
      <c r="P45" s="1152"/>
      <c r="Q45" s="1152"/>
      <c r="R45" s="1153"/>
      <c r="U45" s="302" t="s">
        <v>270</v>
      </c>
    </row>
    <row r="46" spans="1:30" ht="15" x14ac:dyDescent="0.25">
      <c r="A46" s="118"/>
      <c r="B46" s="134" t="s">
        <v>163</v>
      </c>
      <c r="C46" s="135"/>
      <c r="D46" s="135"/>
      <c r="E46" s="135"/>
      <c r="F46" s="534" t="s">
        <v>353</v>
      </c>
      <c r="H46" s="134" t="s">
        <v>163</v>
      </c>
      <c r="I46" s="135"/>
      <c r="J46" s="135"/>
      <c r="K46" s="135"/>
      <c r="L46" s="534" t="s">
        <v>353</v>
      </c>
      <c r="M46" s="338"/>
      <c r="N46" s="295"/>
      <c r="O46" s="1154" t="s">
        <v>244</v>
      </c>
      <c r="P46" s="1155"/>
      <c r="Q46" s="1155"/>
      <c r="R46" s="1156"/>
      <c r="U46" s="302" t="s">
        <v>275</v>
      </c>
      <c r="W46" s="302" t="s">
        <v>271</v>
      </c>
    </row>
    <row r="47" spans="1:30" x14ac:dyDescent="0.2">
      <c r="A47" s="286"/>
      <c r="B47" s="136" t="s">
        <v>164</v>
      </c>
      <c r="C47" t="s">
        <v>28</v>
      </c>
      <c r="E47" s="19"/>
      <c r="F47" s="192"/>
      <c r="G47" s="20"/>
      <c r="H47" s="136" t="s">
        <v>164</v>
      </c>
      <c r="I47" t="s">
        <v>28</v>
      </c>
      <c r="K47" s="125"/>
      <c r="L47" s="421">
        <f>IF($M$46&lt;&gt;0,F47*(100%+$M$46),F47)</f>
        <v>0</v>
      </c>
      <c r="M47" s="759" t="str">
        <f>(IFERROR(L47/B_KZP_Gesamtkalkulation!$K$6,""))</f>
        <v/>
      </c>
      <c r="N47" s="173"/>
      <c r="O47" s="1145"/>
      <c r="P47" s="1146"/>
      <c r="Q47" s="1146"/>
      <c r="R47" s="1147"/>
      <c r="U47" s="302" t="s">
        <v>276</v>
      </c>
      <c r="W47" s="302" t="s">
        <v>272</v>
      </c>
    </row>
    <row r="48" spans="1:30" x14ac:dyDescent="0.2">
      <c r="A48" s="286"/>
      <c r="B48" s="137" t="s">
        <v>165</v>
      </c>
      <c r="C48" s="95" t="s">
        <v>30</v>
      </c>
      <c r="D48" s="95"/>
      <c r="E48" s="100"/>
      <c r="F48" s="103"/>
      <c r="G48" s="20"/>
      <c r="H48" s="137" t="s">
        <v>165</v>
      </c>
      <c r="I48" s="95" t="s">
        <v>30</v>
      </c>
      <c r="J48" s="95"/>
      <c r="K48" s="124"/>
      <c r="L48" s="421">
        <f t="shared" ref="L48:L53" si="6">IF($M$46&lt;&gt;0,F48*(100%+$M$46),F48)</f>
        <v>0</v>
      </c>
      <c r="M48" s="759" t="str">
        <f>(IFERROR(L48/B_KZP_Gesamtkalkulation!$K$6,""))</f>
        <v/>
      </c>
      <c r="N48" s="173"/>
      <c r="O48" s="1148"/>
      <c r="P48" s="1149"/>
      <c r="Q48" s="1149"/>
      <c r="R48" s="1150"/>
      <c r="T48" s="313"/>
    </row>
    <row r="49" spans="1:32" x14ac:dyDescent="0.2">
      <c r="A49" s="286"/>
      <c r="B49" s="137" t="s">
        <v>166</v>
      </c>
      <c r="C49" s="99" t="s">
        <v>31</v>
      </c>
      <c r="D49" s="95"/>
      <c r="E49" s="100"/>
      <c r="F49" s="192"/>
      <c r="G49" s="20"/>
      <c r="H49" s="137" t="s">
        <v>166</v>
      </c>
      <c r="I49" s="99" t="s">
        <v>31</v>
      </c>
      <c r="K49" s="125"/>
      <c r="L49" s="421">
        <f t="shared" si="6"/>
        <v>0</v>
      </c>
      <c r="M49" s="759" t="str">
        <f>(IFERROR(L49/B_KZP_Gesamtkalkulation!$K$6,""))</f>
        <v/>
      </c>
      <c r="N49" s="173"/>
      <c r="O49" s="1148"/>
      <c r="P49" s="1149"/>
      <c r="Q49" s="1149"/>
      <c r="R49" s="1150"/>
      <c r="T49" s="302" t="s">
        <v>266</v>
      </c>
    </row>
    <row r="50" spans="1:32" x14ac:dyDescent="0.2">
      <c r="A50" s="286"/>
      <c r="B50" s="137" t="s">
        <v>167</v>
      </c>
      <c r="C50" t="s">
        <v>29</v>
      </c>
      <c r="D50" s="21"/>
      <c r="E50" s="94"/>
      <c r="F50" s="103"/>
      <c r="G50" s="20"/>
      <c r="H50" s="137" t="s">
        <v>167</v>
      </c>
      <c r="I50" t="s">
        <v>29</v>
      </c>
      <c r="J50" s="21"/>
      <c r="K50" s="437"/>
      <c r="L50" s="421">
        <f t="shared" si="6"/>
        <v>0</v>
      </c>
      <c r="M50" s="759" t="str">
        <f>(IFERROR(L50/B_KZP_Gesamtkalkulation!$K$6,""))</f>
        <v/>
      </c>
      <c r="N50" s="173"/>
      <c r="O50" s="1148"/>
      <c r="P50" s="1149"/>
      <c r="Q50" s="1149"/>
      <c r="R50" s="1150"/>
    </row>
    <row r="51" spans="1:32" x14ac:dyDescent="0.2">
      <c r="A51" s="286"/>
      <c r="B51" s="137" t="s">
        <v>168</v>
      </c>
      <c r="C51" s="99" t="s">
        <v>408</v>
      </c>
      <c r="D51" s="95"/>
      <c r="E51" s="100"/>
      <c r="F51" s="192"/>
      <c r="G51" s="20"/>
      <c r="H51" s="137" t="s">
        <v>168</v>
      </c>
      <c r="I51" s="99" t="s">
        <v>408</v>
      </c>
      <c r="J51" s="95"/>
      <c r="K51" s="438"/>
      <c r="L51" s="421">
        <f t="shared" si="6"/>
        <v>0</v>
      </c>
      <c r="M51" s="759" t="str">
        <f>(IFERROR(L51/B_KZP_Gesamtkalkulation!$K$6,""))</f>
        <v/>
      </c>
      <c r="N51" s="173"/>
      <c r="O51" s="1148"/>
      <c r="P51" s="1149"/>
      <c r="Q51" s="1149"/>
      <c r="R51" s="1150"/>
    </row>
    <row r="52" spans="1:32" x14ac:dyDescent="0.2">
      <c r="A52" s="286"/>
      <c r="B52" s="137" t="s">
        <v>169</v>
      </c>
      <c r="C52" s="1165"/>
      <c r="D52" s="1166"/>
      <c r="E52" s="1167"/>
      <c r="F52" s="103"/>
      <c r="G52" s="20"/>
      <c r="H52" s="137" t="s">
        <v>169</v>
      </c>
      <c r="I52" s="99" t="str">
        <f>IF(C52&lt;&gt;"",C52,"")</f>
        <v/>
      </c>
      <c r="J52" s="95"/>
      <c r="K52" s="438"/>
      <c r="L52" s="421">
        <f t="shared" ref="L52" si="7">IF($M$46&lt;&gt;0,F52*(100%+$M$46),F52)</f>
        <v>0</v>
      </c>
      <c r="M52" s="759" t="str">
        <f>(IFERROR(L52/B_KZP_Gesamtkalkulation!$K$6,""))</f>
        <v/>
      </c>
      <c r="N52" s="173"/>
      <c r="O52" s="1148"/>
      <c r="P52" s="1149"/>
      <c r="Q52" s="1149"/>
      <c r="R52" s="1150"/>
    </row>
    <row r="53" spans="1:32" x14ac:dyDescent="0.2">
      <c r="A53" s="286"/>
      <c r="B53" s="137" t="s">
        <v>392</v>
      </c>
      <c r="C53" s="1162"/>
      <c r="D53" s="1163"/>
      <c r="E53" s="1164"/>
      <c r="F53" s="192"/>
      <c r="G53" s="20"/>
      <c r="H53" s="137" t="s">
        <v>392</v>
      </c>
      <c r="I53" s="99" t="str">
        <f>IF(C53&lt;&gt;"",C53,"")</f>
        <v/>
      </c>
      <c r="K53" s="125"/>
      <c r="L53" s="421">
        <f t="shared" si="6"/>
        <v>0</v>
      </c>
      <c r="M53" s="759" t="str">
        <f>(IFERROR(L53/B_KZP_Gesamtkalkulation!$K$6,""))</f>
        <v/>
      </c>
      <c r="N53" s="173"/>
      <c r="O53" s="1148"/>
      <c r="P53" s="1149"/>
      <c r="Q53" s="1149"/>
      <c r="R53" s="1150"/>
    </row>
    <row r="54" spans="1:32" x14ac:dyDescent="0.2">
      <c r="A54" s="285"/>
      <c r="B54" s="97"/>
      <c r="C54" s="95" t="s">
        <v>154</v>
      </c>
      <c r="D54" s="95"/>
      <c r="E54" s="100"/>
      <c r="F54" s="105">
        <f>SUM(F47:F53)</f>
        <v>0</v>
      </c>
      <c r="G54" s="287"/>
      <c r="H54" s="99"/>
      <c r="I54" s="99" t="s">
        <v>154</v>
      </c>
      <c r="J54" s="95"/>
      <c r="K54" s="95"/>
      <c r="L54" s="419">
        <f>SUM(L47:L53)</f>
        <v>0</v>
      </c>
      <c r="M54" s="345">
        <f>SUM(M47:M53)</f>
        <v>0</v>
      </c>
      <c r="N54" s="173"/>
      <c r="O54" s="1151"/>
      <c r="P54" s="1152"/>
      <c r="Q54" s="1152"/>
      <c r="R54" s="1153"/>
    </row>
    <row r="55" spans="1:32" ht="9" customHeight="1" x14ac:dyDescent="0.2">
      <c r="A55" s="20"/>
      <c r="F55" s="21"/>
      <c r="R55" s="19"/>
    </row>
    <row r="56" spans="1:32" ht="13.9" customHeight="1" x14ac:dyDescent="0.2">
      <c r="A56" s="20"/>
      <c r="R56" s="19"/>
    </row>
    <row r="57" spans="1:32" ht="13.9" customHeight="1" thickBot="1" x14ac:dyDescent="0.3">
      <c r="A57" s="20"/>
      <c r="B57" s="58" t="s">
        <v>471</v>
      </c>
      <c r="H57" s="58" t="s">
        <v>409</v>
      </c>
      <c r="R57" s="19"/>
    </row>
    <row r="58" spans="1:32" s="126" customFormat="1" ht="15" x14ac:dyDescent="0.25">
      <c r="A58" s="288"/>
      <c r="B58" s="633" t="s">
        <v>472</v>
      </c>
      <c r="C58" s="813"/>
      <c r="D58" s="813"/>
      <c r="E58" s="813"/>
      <c r="F58" s="814"/>
      <c r="G58"/>
      <c r="H58" s="819" t="s">
        <v>410</v>
      </c>
      <c r="O58" s="1186"/>
      <c r="P58" s="1186"/>
      <c r="Q58" s="1186"/>
      <c r="R58" s="1187"/>
      <c r="T58" s="310"/>
      <c r="U58" s="302"/>
      <c r="V58" s="302"/>
      <c r="W58" s="302"/>
      <c r="X58" s="302"/>
      <c r="Y58" s="302"/>
      <c r="Z58" s="302"/>
      <c r="AA58" s="302"/>
      <c r="AB58" s="302"/>
      <c r="AC58" s="302"/>
      <c r="AD58" s="302"/>
      <c r="AE58" s="305"/>
      <c r="AF58" s="305"/>
    </row>
    <row r="59" spans="1:32" s="126" customFormat="1" ht="14.45" customHeight="1" x14ac:dyDescent="0.2">
      <c r="A59" s="288"/>
      <c r="B59" s="812" t="s">
        <v>46</v>
      </c>
      <c r="C59" s="131" t="s">
        <v>47</v>
      </c>
      <c r="D59" s="131" t="s">
        <v>48</v>
      </c>
      <c r="E59" s="131" t="s">
        <v>49</v>
      </c>
      <c r="F59" s="132" t="s">
        <v>50</v>
      </c>
      <c r="G59" s="109"/>
      <c r="H59" s="634" t="s">
        <v>351</v>
      </c>
      <c r="L59" s="130"/>
      <c r="N59" s="130"/>
      <c r="O59" s="1024"/>
      <c r="P59" s="1025"/>
      <c r="Q59" s="1025"/>
      <c r="R59" s="1026"/>
      <c r="T59" s="311"/>
      <c r="U59" s="311"/>
      <c r="V59" s="304"/>
      <c r="W59" s="304"/>
      <c r="X59" s="311"/>
      <c r="Y59" s="304"/>
      <c r="Z59" s="302"/>
      <c r="AA59" s="302"/>
      <c r="AB59" s="302"/>
      <c r="AC59" s="302"/>
      <c r="AD59" s="302"/>
      <c r="AE59" s="305"/>
      <c r="AF59" s="305"/>
    </row>
    <row r="60" spans="1:32" ht="15" thickBot="1" x14ac:dyDescent="0.25">
      <c r="A60" s="20"/>
      <c r="B60" s="815"/>
      <c r="C60" s="816"/>
      <c r="D60" s="816"/>
      <c r="E60" s="816"/>
      <c r="F60" s="817"/>
      <c r="G60" s="109"/>
      <c r="H60" s="635">
        <f>IFERROR(B_KZP_Gesamtkalkulation!H46,0)</f>
        <v>0</v>
      </c>
      <c r="O60" s="1025"/>
      <c r="P60" s="1025"/>
      <c r="Q60" s="1025"/>
      <c r="R60" s="1026"/>
      <c r="U60" s="312"/>
      <c r="W60" s="312"/>
      <c r="X60" s="312"/>
    </row>
    <row r="61" spans="1:32" ht="13.9" customHeight="1" thickBot="1" x14ac:dyDescent="0.25">
      <c r="A61" s="20"/>
      <c r="O61" s="1025"/>
      <c r="P61" s="1025"/>
      <c r="Q61" s="1025"/>
      <c r="R61" s="1026"/>
    </row>
    <row r="62" spans="1:32" ht="13.9" customHeight="1" x14ac:dyDescent="0.25">
      <c r="A62" s="20"/>
      <c r="B62" s="1159" t="s">
        <v>171</v>
      </c>
      <c r="C62" s="1160"/>
      <c r="D62" s="1161"/>
      <c r="H62" s="1174" t="s">
        <v>171</v>
      </c>
      <c r="I62" s="1160"/>
      <c r="J62" s="1161"/>
      <c r="O62" s="1025"/>
      <c r="P62" s="1025"/>
      <c r="Q62" s="1025"/>
      <c r="R62" s="1026"/>
    </row>
    <row r="63" spans="1:32" ht="13.9" customHeight="1" x14ac:dyDescent="0.2">
      <c r="A63" s="20"/>
      <c r="B63" s="131" t="s">
        <v>170</v>
      </c>
      <c r="C63" s="131" t="s">
        <v>393</v>
      </c>
      <c r="D63" s="132" t="s">
        <v>352</v>
      </c>
      <c r="H63" s="812" t="s">
        <v>170</v>
      </c>
      <c r="I63" s="131" t="s">
        <v>393</v>
      </c>
      <c r="J63" s="132" t="s">
        <v>352</v>
      </c>
      <c r="O63" s="1025"/>
      <c r="P63" s="1025"/>
      <c r="Q63" s="1025"/>
      <c r="R63" s="1026"/>
    </row>
    <row r="64" spans="1:32" ht="13.9" customHeight="1" thickBot="1" x14ac:dyDescent="0.25">
      <c r="A64" s="20"/>
      <c r="B64" s="816"/>
      <c r="C64" s="816"/>
      <c r="D64" s="817"/>
      <c r="H64" s="820">
        <f>IFERROR(B_KZP_Gesamtkalkulation!I46,0)</f>
        <v>0</v>
      </c>
      <c r="I64" s="107">
        <f>IFERROR(B_KZP_Gesamtkalkulation!J46,0)</f>
        <v>0</v>
      </c>
      <c r="J64" s="108">
        <f>IFERROR(B_KZP_Gesamtkalkulation!K46,0)</f>
        <v>0</v>
      </c>
      <c r="O64" s="1025"/>
      <c r="P64" s="1025"/>
      <c r="Q64" s="1025"/>
      <c r="R64" s="1026"/>
    </row>
    <row r="65" spans="1:34" ht="13.9" customHeight="1" x14ac:dyDescent="0.2">
      <c r="A65" s="20"/>
      <c r="O65" s="1025"/>
      <c r="P65" s="1025"/>
      <c r="Q65" s="1025"/>
      <c r="R65" s="1026"/>
    </row>
    <row r="66" spans="1:34" ht="15" x14ac:dyDescent="0.25">
      <c r="A66" s="20"/>
      <c r="B66" s="133"/>
      <c r="H66" s="617" t="s">
        <v>380</v>
      </c>
      <c r="I66" s="217"/>
      <c r="J66" s="217"/>
      <c r="K66" s="217"/>
      <c r="L66" s="620"/>
      <c r="M66" s="619" t="str">
        <f>IF(L66&lt;&gt;"ja","Bitte Anwesenheit Pflegefachkraft bestätigen.","")</f>
        <v>Bitte Anwesenheit Pflegefachkraft bestätigen.</v>
      </c>
      <c r="O66" s="1025"/>
      <c r="P66" s="1025"/>
      <c r="Q66" s="1025"/>
      <c r="R66" s="1026"/>
    </row>
    <row r="67" spans="1:34" ht="15" x14ac:dyDescent="0.25">
      <c r="A67" s="20"/>
      <c r="B67" s="133" t="s">
        <v>198</v>
      </c>
      <c r="O67" s="1025"/>
      <c r="P67" s="1025"/>
      <c r="Q67" s="1025"/>
      <c r="R67" s="1026"/>
    </row>
    <row r="68" spans="1:34" s="127" customFormat="1" ht="66" customHeight="1" x14ac:dyDescent="0.2">
      <c r="A68" s="141"/>
      <c r="B68" s="80"/>
      <c r="C68" s="139"/>
      <c r="H68" s="80"/>
      <c r="I68" s="139"/>
      <c r="J68" s="139"/>
      <c r="K68" s="139"/>
      <c r="L68" s="139"/>
      <c r="O68" s="1025"/>
      <c r="P68" s="1025"/>
      <c r="Q68" s="1025"/>
      <c r="R68" s="1026"/>
      <c r="T68" s="304"/>
      <c r="U68" s="302"/>
      <c r="V68" s="302"/>
      <c r="W68" s="302"/>
      <c r="X68" s="302"/>
      <c r="Y68" s="302"/>
      <c r="Z68" s="302"/>
      <c r="AA68" s="302"/>
      <c r="AB68" s="302"/>
      <c r="AC68" s="302"/>
      <c r="AD68" s="302"/>
      <c r="AE68" s="302"/>
      <c r="AF68" s="302"/>
      <c r="AG68"/>
      <c r="AH68"/>
    </row>
    <row r="69" spans="1:34" x14ac:dyDescent="0.2">
      <c r="A69" s="20"/>
      <c r="B69" t="s">
        <v>172</v>
      </c>
      <c r="H69" s="45" t="s">
        <v>197</v>
      </c>
      <c r="R69" s="19"/>
    </row>
    <row r="70" spans="1:34" s="140" customFormat="1" ht="12" x14ac:dyDescent="0.2">
      <c r="A70" s="289"/>
      <c r="B70" s="129"/>
      <c r="C70" s="129"/>
      <c r="D70" s="129"/>
      <c r="E70" s="129"/>
      <c r="F70" s="129"/>
      <c r="G70" s="129"/>
      <c r="H70" s="129"/>
      <c r="I70" s="129"/>
      <c r="J70" s="129"/>
      <c r="K70" s="129"/>
      <c r="L70" s="129"/>
      <c r="M70" s="129"/>
      <c r="N70" s="129"/>
      <c r="O70" s="129"/>
      <c r="P70" s="129"/>
      <c r="Q70" s="129"/>
      <c r="R70" s="209"/>
      <c r="T70" s="306"/>
      <c r="U70" s="306"/>
      <c r="V70" s="306"/>
      <c r="W70" s="306"/>
      <c r="X70" s="306"/>
      <c r="Y70" s="306"/>
      <c r="Z70" s="306"/>
      <c r="AA70" s="306"/>
      <c r="AB70" s="306"/>
      <c r="AC70" s="306"/>
      <c r="AD70" s="306"/>
      <c r="AE70" s="306"/>
      <c r="AF70" s="306"/>
    </row>
    <row r="72" spans="1:34" x14ac:dyDescent="0.2">
      <c r="H72" s="1066" t="s">
        <v>445</v>
      </c>
      <c r="I72" s="1066"/>
      <c r="J72" s="1066"/>
      <c r="K72" s="1066"/>
      <c r="L72" s="1066"/>
      <c r="M72" s="1066"/>
      <c r="N72" s="1066"/>
    </row>
    <row r="73" spans="1:34" ht="6.6" customHeight="1" thickBot="1" x14ac:dyDescent="0.25">
      <c r="H73" s="602"/>
      <c r="I73" s="603"/>
      <c r="J73" s="603"/>
      <c r="K73" s="603"/>
      <c r="L73" s="603"/>
      <c r="M73" s="603"/>
      <c r="N73" s="603"/>
    </row>
    <row r="74" spans="1:34" ht="14.45" customHeight="1" thickBot="1" x14ac:dyDescent="0.25">
      <c r="H74" s="1115" t="s">
        <v>446</v>
      </c>
      <c r="I74" s="1168"/>
      <c r="J74" s="1168"/>
      <c r="K74" s="1168"/>
      <c r="L74" s="1168"/>
      <c r="M74" s="1168"/>
      <c r="N74" s="1169"/>
      <c r="O74" s="1023"/>
    </row>
    <row r="75" spans="1:34" x14ac:dyDescent="0.2">
      <c r="H75" s="601"/>
      <c r="N75" s="1023"/>
    </row>
    <row r="77" spans="1:34" x14ac:dyDescent="0.2">
      <c r="H77" s="326"/>
    </row>
  </sheetData>
  <sheetProtection algorithmName="SHA-512" hashValue="g0aXC8QK0wdRGsavWAWJRbY8CltTWsXTS62YMJDfcJ9hPHFnoEA1oTOtIIOrRE1p54iqaenR5PJS4F49Q91fGw==" saltValue="nSN28HKWn6T0dIswlTwy0A==" spinCount="100000" sheet="1" objects="1" scenarios="1" selectLockedCells="1"/>
  <customSheetViews>
    <customSheetView guid="{9119B1A0-FD79-4FE4-B78E-10E0AEB8080B}" showPageBreaks="1" showGridLines="0" fitToPage="1" printArea="1" hiddenColumns="1" view="pageLayout" topLeftCell="N58">
      <selection activeCell="D6" sqref="D6"/>
      <pageMargins left="0.39370078740157483" right="0.39370078740157483" top="0.78740157480314965" bottom="0.78740157480314965" header="0.31496062992125984" footer="0.31496062992125984"/>
      <pageSetup paperSize="9" scale="46" orientation="landscape" r:id="rId1"/>
      <headerFooter>
        <oddHeader>&amp;C&amp;9Seite 2</oddHeader>
        <oddFooter xml:space="preserve">&amp;LVersion: 21.06.2022&amp;CVerhandlungsunterlagen SGB XI (vereinfacht B1)&amp;RPSK-Beschluss Nr. 3-2022 vom 21.06.2022 </oddFooter>
      </headerFooter>
    </customSheetView>
  </customSheetViews>
  <mergeCells count="27">
    <mergeCell ref="B62:D62"/>
    <mergeCell ref="C53:E53"/>
    <mergeCell ref="C52:E52"/>
    <mergeCell ref="H74:N74"/>
    <mergeCell ref="A1:P1"/>
    <mergeCell ref="A2:P2"/>
    <mergeCell ref="H62:J62"/>
    <mergeCell ref="B30:C30"/>
    <mergeCell ref="H30:I30"/>
    <mergeCell ref="C4:D4"/>
    <mergeCell ref="C5:D5"/>
    <mergeCell ref="P4:Q4"/>
    <mergeCell ref="P5:Q5"/>
    <mergeCell ref="O21:R21"/>
    <mergeCell ref="O47:R54"/>
    <mergeCell ref="O58:R58"/>
    <mergeCell ref="H72:N72"/>
    <mergeCell ref="O34:R45"/>
    <mergeCell ref="O46:R46"/>
    <mergeCell ref="O33:R33"/>
    <mergeCell ref="H24:I24"/>
    <mergeCell ref="H28:I28"/>
    <mergeCell ref="V20:Y20"/>
    <mergeCell ref="T36:AD36"/>
    <mergeCell ref="T31:AC33"/>
    <mergeCell ref="O20:R20"/>
    <mergeCell ref="O22:R31"/>
  </mergeCells>
  <dataValidations xWindow="1571" yWindow="855" count="10">
    <dataValidation type="whole" allowBlank="1" showInputMessage="1" showErrorMessage="1" error="ganze Zahlen_x000a_ab 73 bis 100" promptTitle="je nach Zulassungsdatum" prompt="73% - für das 2. Jahr der Zulassung_x000a_mind. 78% bis 100% - nach Ablauf des 2. Jahres der Zulassung_x000a_" sqref="D7" xr:uid="{00000000-0002-0000-0400-000000000000}">
      <formula1>73</formula1>
      <formula2>100</formula2>
    </dataValidation>
    <dataValidation allowBlank="1" showErrorMessage="1" error="Forderung liegt über max. zu vereinbarenden Wert (17,90 €)" sqref="K21" xr:uid="{00000000-0002-0000-0400-000001000000}"/>
    <dataValidation type="custom" allowBlank="1" showInputMessage="1" showErrorMessage="1" errorTitle="Steigerungsrate" error="liegt über abgestimmten Prozentsatz. Bitte korrigieren." promptTitle="Steigerungsrate" prompt="einheitlich für Sachkosten" sqref="N33" xr:uid="{00000000-0002-0000-0400-000002000000}">
      <formula1>N33&lt;=5%</formula1>
    </dataValidation>
    <dataValidation type="custom" allowBlank="1" showInputMessage="1" showErrorMessage="1" errorTitle="Steigerungsrate" error="liegt über abgestimmten Prozentsatz, bitte korrigieren." promptTitle="Steigerungsrate" prompt="einheitlich für Fremdleistung" sqref="N46" xr:uid="{00000000-0002-0000-0400-000003000000}">
      <formula1>N46&lt;=7%</formula1>
    </dataValidation>
    <dataValidation type="list" allowBlank="1" showInputMessage="1" showErrorMessage="1" sqref="L66" xr:uid="{4CEEFA87-A9A9-4E92-869D-D50D13D1AF71}">
      <formula1>"ja"</formula1>
    </dataValidation>
    <dataValidation type="custom" allowBlank="1" showInputMessage="1" showErrorMessage="1" error="Eingabe nur mit 2 Nachkommastellen" sqref="I26" xr:uid="{60C45930-6C13-4E70-9A4E-8F8FB1B72D89}">
      <formula1>MOD(I26*100,1)=0</formula1>
    </dataValidation>
    <dataValidation type="whole" allowBlank="1" showInputMessage="1" showErrorMessage="1" error="Nur ganzzahlige Angaben sind zulässig." sqref="D30 J30" xr:uid="{2C44F09E-D634-415F-85B6-5658BFA9EA59}">
      <formula1>0</formula1>
      <formula2>100</formula2>
    </dataValidation>
    <dataValidation type="custom" allowBlank="1" showInputMessage="1" showErrorMessage="1" error="Eingabe nur mit 4 Nachkommastellen" sqref="J22" xr:uid="{47BFDC7E-8E04-4523-BA3F-641B8A684A8C}">
      <formula1>IFERROR((LEN(J22)-FIND(",",J22)),0)&lt;=4</formula1>
    </dataValidation>
    <dataValidation type="custom" allowBlank="1" showInputMessage="1" showErrorMessage="1" error="Die Angabe eines höheren als dem bisher vereinbarten Wert ist nicht möglich." prompt="Nur niedrigere Werte als bisher vereinbart möglich." sqref="J24 J28" xr:uid="{329F1DA8-FFE3-4403-8ED5-9A0E590D0476}">
      <formula1>J24&lt;=J23</formula1>
    </dataValidation>
    <dataValidation type="custom" allowBlank="1" showInputMessage="1" showErrorMessage="1" error="Eingabe nur mit 2 Nachkommastellen" sqref="C23:C24 C26:C29" xr:uid="{D3F6E4E4-3298-49B4-8834-C83182C3BCDD}">
      <formula1>IFERROR((LEN(C23)-FIND(",",C23)),0)&lt;=2</formula1>
    </dataValidation>
  </dataValidations>
  <hyperlinks>
    <hyperlink ref="H74" location="'Anlage 1'!A1" display="Anlage 1" xr:uid="{8BA38DA3-0D2F-437A-8A39-3A429D843535}"/>
    <hyperlink ref="H74:M74" location="B1_Gesamtkalkulation!A1" display="gehe weiter zu B1_Gesamtkalkulation" xr:uid="{2245451F-9D9E-426F-A5B9-1506D9A94602}"/>
    <hyperlink ref="H74:N74" location="B_KZP_Bewohnervertretung!A1" display="gehe weiter zu B_KZP_Bewohnervertretung" xr:uid="{5815D849-2173-4BDB-A08B-76A29A61D3B1}"/>
  </hyperlinks>
  <pageMargins left="0.39370078740157483" right="0.39370078740157483" top="0.78740157480314965" bottom="0.78740157480314965" header="0.31496062992125984" footer="0.31496062992125984"/>
  <pageSetup paperSize="9" scale="45" orientation="landscape"/>
  <headerFooter>
    <oddHeader>&amp;C&amp;9&amp;A</oddHeader>
    <oddFooter>&amp;LVersion: 19.10.2026&amp;CVerhandlungsunterlagen SGB XI (vereinfacht B_KZP)&amp;RPSK-Beschluss vom 08.10.2026</oddFooter>
  </headerFooter>
  <extLst>
    <ext xmlns:x14="http://schemas.microsoft.com/office/spreadsheetml/2009/9/main" uri="{78C0D931-6437-407d-A8EE-F0AAD7539E65}">
      <x14:conditionalFormattings>
        <x14:conditionalFormatting xmlns:xm="http://schemas.microsoft.com/office/excel/2006/main">
          <x14:cfRule type="expression" priority="11" id="{8BB9BB09-8A62-47E5-8745-78B146F04821}">
            <xm:f>KAT!$A$80="nein"</xm:f>
            <x14:dxf>
              <fill>
                <patternFill patternType="none">
                  <bgColor auto="1"/>
                </patternFill>
              </fill>
            </x14:dxf>
          </x14:cfRule>
          <xm:sqref>D8 B19:B20 K22 M66</xm:sqref>
        </x14:conditionalFormatting>
        <x14:conditionalFormatting xmlns:xm="http://schemas.microsoft.com/office/excel/2006/main">
          <x14:cfRule type="expression" priority="5" id="{1B48B386-46E8-4B05-B3AA-833DE4B80D17}">
            <xm:f>OR(AND(KAT!E8&lt;12,D7=KAT!E5*100),AND(KAT!E8&gt;=12,KAT!E8&lt;24,D7=KAT!E4*100),AND(KAT!E8&gt;=24,D7&gt;=KAT!E3*100))</xm:f>
            <x14:dxf>
              <font>
                <color theme="0"/>
              </font>
            </x14:dxf>
          </x14:cfRule>
          <xm:sqref>D8</xm:sqref>
        </x14:conditionalFormatting>
        <x14:conditionalFormatting xmlns:xm="http://schemas.microsoft.com/office/excel/2006/main">
          <x14:cfRule type="expression" priority="6" id="{83E30FA3-B7B6-422C-B2BE-11A441C7AC93}">
            <xm:f>'B_KZP_Allgemeine Angaben'!$N$58=0</xm:f>
            <x14:dxf>
              <font>
                <color theme="0"/>
              </font>
              <fill>
                <patternFill>
                  <fgColor theme="0"/>
                  <bgColor theme="0"/>
                </patternFill>
              </fill>
              <border>
                <left/>
                <right/>
                <top/>
                <bottom/>
              </border>
            </x14:dxf>
          </x14:cfRule>
          <xm:sqref>H72:N72</xm:sqref>
        </x14:conditionalFormatting>
        <x14:conditionalFormatting xmlns:xm="http://schemas.microsoft.com/office/excel/2006/main">
          <x14:cfRule type="expression" priority="7" id="{116218A5-D2E0-4843-B0E3-FC426DDDBC4B}">
            <xm:f>'B_KZP_Allgemeine Angaben'!$N$58=1</xm:f>
            <x14:dxf>
              <font>
                <color theme="0"/>
              </font>
              <fill>
                <patternFill>
                  <fgColor theme="0"/>
                  <bgColor theme="0"/>
                </patternFill>
              </fill>
              <border>
                <left/>
                <right/>
                <top/>
                <bottom/>
              </border>
            </x14:dxf>
          </x14:cfRule>
          <xm:sqref>H74:N74</xm:sqref>
        </x14:conditionalFormatting>
        <x14:conditionalFormatting xmlns:xm="http://schemas.microsoft.com/office/excel/2006/main">
          <x14:cfRule type="expression" priority="3" id="{344B3D84-A215-4299-B2A1-E134235A3028}">
            <xm:f>J22&gt;KAT!C12</xm:f>
            <x14:dxf>
              <font>
                <color rgb="FFFF0000"/>
              </font>
            </x14:dxf>
          </x14:cfRule>
          <xm:sqref>K22</xm:sqref>
        </x14:conditionalFormatting>
        <x14:conditionalFormatting xmlns:xm="http://schemas.microsoft.com/office/excel/2006/main">
          <x14:cfRule type="expression" priority="131" id="{117A7717-8C88-482D-95AF-D78805A9CEB3}">
            <xm:f>'B_KZP_Allgemeine Angaben'!$N$58=1</xm:f>
            <x14:dxf>
              <fill>
                <patternFill patternType="none">
                  <bgColor auto="1"/>
                </patternFill>
              </fill>
            </x14:dxf>
          </x14:cfRule>
          <xm:sqref>M23:M25</xm:sqref>
        </x14:conditionalFormatting>
      </x14:conditionalFormattings>
    </ext>
    <ext xmlns:x14="http://schemas.microsoft.com/office/spreadsheetml/2009/9/main" uri="{CCE6A557-97BC-4b89-ADB6-D9C93CAAB3DF}">
      <x14:dataValidations xmlns:xm="http://schemas.microsoft.com/office/excel/2006/main" xWindow="1571" yWindow="855" count="8">
        <x14:dataValidation type="custom" allowBlank="1" showInputMessage="1" showErrorMessage="1" error="Forderung liegt über max. Steigerungsrate:_x000a_* rüE bis 3,00% _x000a_* Tarifbindung / Tarifanlehnung bis 5,00%" xr:uid="{50F898E3-858F-4E4C-B9DE-4E697C019C8A}">
          <x14:formula1>
            <xm:f>M22&lt;=KAT!$L$30</xm:f>
          </x14:formula1>
          <xm:sqref>M25 M22:M23</xm:sqref>
        </x14:dataValidation>
        <x14:dataValidation type="custom" allowBlank="1" showInputMessage="1" showErrorMessage="1" error="Forderung liegt über max. Steigerungsrate_x000a_(10%)" xr:uid="{48D3C722-0E7B-45B2-BD0D-BA3369E5C1BB}">
          <x14:formula1>
            <xm:f>M24&lt;=KAT!$L$30</xm:f>
          </x14:formula1>
          <xm:sqref>M24</xm:sqref>
        </x14:dataValidation>
        <x14:dataValidation type="custom" allowBlank="1" showInputMessage="1" showErrorMessage="1" error="Forderung liegt über max. Steigerungsrate (5,00%)." xr:uid="{00000000-0002-0000-0400-000006000000}">
          <x14:formula1>
            <xm:f>M46&lt;=KAT!L38</xm:f>
          </x14:formula1>
          <xm:sqref>M46</xm:sqref>
        </x14:dataValidation>
        <x14:dataValidation type="custom" allowBlank="1" showInputMessage="1" showErrorMessage="1" error="Forderung liegt über max. Steigerungsrate (3,00%)._x000a_" xr:uid="{00000000-0002-0000-0400-000007000000}">
          <x14:formula1>
            <xm:f>M33&lt;=KAT!L37</xm:f>
          </x14:formula1>
          <xm:sqref>M33</xm:sqref>
        </x14:dataValidation>
        <x14:dataValidation type="custom" allowBlank="1" showInputMessage="1" showErrorMessage="1" error="Forderung liegt über max. Steigerungsrate (4,00%)." xr:uid="{00000000-0002-0000-0400-000008000000}">
          <x14:formula1>
            <xm:f>M30&lt;=KAT!L35</xm:f>
          </x14:formula1>
          <xm:sqref>M30</xm:sqref>
        </x14:dataValidation>
        <x14:dataValidation type="custom" allowBlank="1" showInputMessage="1" showErrorMessage="1" error="Forderung liegt über max. Steigerungsrate:_x000a_* rüE / Tarifanlehnung bis 5% _x000a_* Tarifbindung bis 10%" xr:uid="{4232A348-616A-40D1-B444-817B5ECFF401}">
          <x14:formula1>
            <xm:f>M28&lt;=KAT!L33</xm:f>
          </x14:formula1>
          <xm:sqref>M28:M29</xm:sqref>
        </x14:dataValidation>
        <x14:dataValidation type="custom" allowBlank="1" showInputMessage="1" showErrorMessage="1" error="Forderung liegt über max. Steigerungsrate:_x000a_* rüE bis 3,42% _x000a_* Tarifbindung / Tarifanlehnung bis 5,00%" xr:uid="{D4548AB0-2D32-4650-9838-AA3C909AE9C8}">
          <x14:formula1>
            <xm:f>M26&lt;=KAT!L31</xm:f>
          </x14:formula1>
          <xm:sqref>M26</xm:sqref>
        </x14:dataValidation>
        <x14:dataValidation type="custom" allowBlank="1" showInputMessage="1" showErrorMessage="1" error="Forderung liegt über max. Steigerungsrate:_x000a_* rüE bis 3,00% _x000a_* Tarifbindung / Tarifanlehnung bis 5,00%" xr:uid="{83AAFBFE-3EE9-4CE8-97EC-4FA66DE7F9E3}">
          <x14:formula1>
            <xm:f>M27&lt;=KAT!L32</xm:f>
          </x14:formula1>
          <xm:sqref>M27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W46"/>
  <sheetViews>
    <sheetView showGridLines="0" topLeftCell="A9" zoomScaleNormal="100" workbookViewId="0">
      <selection activeCell="F29" sqref="F29"/>
    </sheetView>
  </sheetViews>
  <sheetFormatPr baseColWidth="10" defaultRowHeight="14.25" x14ac:dyDescent="0.2"/>
  <cols>
    <col min="1" max="1" width="3.875" customWidth="1"/>
    <col min="2" max="2" width="46.25" customWidth="1"/>
    <col min="3" max="7" width="15.625" customWidth="1"/>
    <col min="8" max="8" width="14.25" customWidth="1"/>
    <col min="9" max="10" width="11.625" customWidth="1"/>
    <col min="11" max="12" width="11" customWidth="1"/>
    <col min="13" max="13" width="5.625" customWidth="1"/>
    <col min="14" max="14" width="15.5" customWidth="1"/>
    <col min="15" max="15" width="15.375" customWidth="1"/>
    <col min="16" max="16" width="13.875" customWidth="1"/>
    <col min="17" max="18" width="11" customWidth="1"/>
    <col min="19" max="19" width="14.75" customWidth="1"/>
    <col min="20" max="20" width="12.625" customWidth="1"/>
    <col min="21" max="21" width="15" customWidth="1"/>
    <col min="22" max="23" width="14.5" customWidth="1"/>
    <col min="24" max="25" width="11.25" customWidth="1"/>
  </cols>
  <sheetData>
    <row r="1" spans="1:20" ht="28.5" customHeight="1" x14ac:dyDescent="0.25">
      <c r="A1" s="1124" t="str">
        <f>'B_KZP_Allgemeine Angaben'!A1:A1</f>
        <v>Vereinfachtes Verfahren der Aufforderung zum Abschluss einer Pflegesatzvereinbarung gemäß § 84, 85 SGB XI - Kurzzeitpflegeeinrichtungen</v>
      </c>
      <c r="B1" s="1125"/>
      <c r="C1" s="1125"/>
      <c r="D1" s="1125"/>
      <c r="E1" s="1125"/>
      <c r="F1" s="1125"/>
      <c r="G1" s="1125"/>
      <c r="H1" s="1125"/>
      <c r="I1" s="1125"/>
      <c r="J1" s="1125"/>
      <c r="K1" s="1125"/>
      <c r="L1" s="353"/>
      <c r="N1" s="290" t="s">
        <v>235</v>
      </c>
      <c r="O1" s="199"/>
      <c r="P1" s="199"/>
    </row>
    <row r="2" spans="1:20" ht="15" x14ac:dyDescent="0.25">
      <c r="A2" s="354"/>
      <c r="B2" s="1128" t="s">
        <v>196</v>
      </c>
      <c r="C2" s="1128"/>
      <c r="D2" s="1128"/>
      <c r="E2" s="1128"/>
      <c r="F2" s="1128"/>
      <c r="G2" s="1128"/>
      <c r="H2" s="1128"/>
      <c r="I2" s="1128"/>
      <c r="J2" s="1128"/>
      <c r="K2" s="1128"/>
      <c r="L2" s="1129"/>
      <c r="N2" s="199"/>
      <c r="O2" s="199"/>
      <c r="P2" s="199"/>
    </row>
    <row r="3" spans="1:20" x14ac:dyDescent="0.2">
      <c r="A3" s="354"/>
      <c r="B3" s="477"/>
      <c r="C3" s="477"/>
      <c r="D3" s="477"/>
      <c r="E3" s="477"/>
      <c r="F3" s="477"/>
      <c r="G3" s="477"/>
      <c r="H3" s="477"/>
      <c r="I3" s="477"/>
      <c r="J3" s="477"/>
      <c r="K3" s="477"/>
      <c r="L3" s="357"/>
      <c r="N3" s="199"/>
      <c r="O3" s="199"/>
      <c r="P3" s="199"/>
    </row>
    <row r="4" spans="1:20" x14ac:dyDescent="0.2">
      <c r="A4" s="354"/>
      <c r="B4" s="178" t="s">
        <v>183</v>
      </c>
      <c r="C4" s="610">
        <f>'B_KZP_Allgemeine Angaben'!D12</f>
        <v>0</v>
      </c>
      <c r="D4" s="353"/>
      <c r="E4" s="477"/>
      <c r="F4" s="477"/>
      <c r="G4" s="477"/>
      <c r="H4" s="477"/>
      <c r="I4" s="355" t="str">
        <f>B_KZP_Kalkulation!N4</f>
        <v>Institutionskennzeichen:</v>
      </c>
      <c r="J4" s="356"/>
      <c r="K4" s="606">
        <f>'B_KZP_Allgemeine Angaben'!L6</f>
        <v>0</v>
      </c>
      <c r="L4" s="609"/>
      <c r="N4" s="199"/>
      <c r="O4" s="199"/>
      <c r="P4" s="199"/>
    </row>
    <row r="5" spans="1:20" x14ac:dyDescent="0.2">
      <c r="A5" s="354"/>
      <c r="B5" s="175" t="s">
        <v>184</v>
      </c>
      <c r="C5" s="611" t="str">
        <f>IF('B_KZP_Allgemeine Angaben'!D16&gt;0,CONCATENATE('B_KZP_Allgemeine Angaben'!D16," ",'B_KZP_Allgemeine Angaben'!J16),"")</f>
        <v/>
      </c>
      <c r="D5" s="93"/>
      <c r="E5" s="477"/>
      <c r="F5" s="477"/>
      <c r="G5" s="477"/>
      <c r="H5" s="477"/>
      <c r="I5" s="358" t="str">
        <f>B_KZP_Kalkulation!N5</f>
        <v>Antrag vom:</v>
      </c>
      <c r="J5" s="359"/>
      <c r="K5" s="360">
        <f>_xlfn.SINGLE('B_KZP_Allgemeine Angaben'!L4)</f>
        <v>0</v>
      </c>
      <c r="L5" s="357"/>
      <c r="N5" s="199"/>
      <c r="O5" s="199"/>
      <c r="P5" s="199"/>
      <c r="Q5" s="200"/>
      <c r="R5" s="200"/>
      <c r="S5" s="200"/>
    </row>
    <row r="6" spans="1:20" x14ac:dyDescent="0.2">
      <c r="A6" s="265"/>
      <c r="B6" s="266"/>
      <c r="C6" s="266"/>
      <c r="D6" s="266"/>
      <c r="E6" s="266"/>
      <c r="F6" s="266"/>
      <c r="G6" s="266"/>
      <c r="H6" s="266"/>
      <c r="I6" s="266"/>
      <c r="J6" s="266"/>
      <c r="K6" s="266"/>
      <c r="L6" s="272"/>
      <c r="N6" s="199"/>
      <c r="O6" s="199"/>
      <c r="P6" s="199"/>
      <c r="Q6" s="200"/>
      <c r="R6" s="200"/>
      <c r="S6" s="200"/>
    </row>
    <row r="7" spans="1:20" x14ac:dyDescent="0.2">
      <c r="A7" s="265"/>
      <c r="B7" s="321"/>
      <c r="C7" s="266"/>
      <c r="D7" s="266"/>
      <c r="E7" s="266"/>
      <c r="F7" s="266"/>
      <c r="G7" s="266"/>
      <c r="H7" s="266"/>
      <c r="I7" s="266"/>
      <c r="J7" s="266"/>
      <c r="K7" s="266"/>
      <c r="L7" s="272"/>
      <c r="N7" s="199"/>
      <c r="O7" s="199"/>
      <c r="P7" s="199"/>
      <c r="Q7" s="200"/>
      <c r="R7" s="200"/>
      <c r="S7" s="200"/>
    </row>
    <row r="8" spans="1:20" x14ac:dyDescent="0.2">
      <c r="A8" s="265"/>
      <c r="B8" s="321" t="str">
        <f>IF('B_KZP_Allgemeine Angaben'!N58=0,"Inhalte dieses Blattes nur bei Entlohnung nach regional üblichem Entgelt relevant.","")</f>
        <v>Inhalte dieses Blattes nur bei Entlohnung nach regional üblichem Entgelt relevant.</v>
      </c>
      <c r="C8" s="266"/>
      <c r="D8" s="266"/>
      <c r="E8" s="266"/>
      <c r="F8" s="266"/>
      <c r="G8" s="266"/>
      <c r="H8" s="266"/>
      <c r="I8" s="266"/>
      <c r="J8" s="266"/>
      <c r="K8" s="266"/>
      <c r="L8" s="272"/>
      <c r="N8" s="199"/>
      <c r="O8" s="199"/>
      <c r="P8" s="199"/>
      <c r="Q8" s="200"/>
      <c r="R8" s="200"/>
      <c r="S8" s="200"/>
    </row>
    <row r="9" spans="1:20" x14ac:dyDescent="0.2">
      <c r="A9" s="265"/>
      <c r="B9" s="321"/>
      <c r="C9" s="266"/>
      <c r="D9" s="266"/>
      <c r="E9" s="266"/>
      <c r="F9" s="266"/>
      <c r="G9" s="266"/>
      <c r="H9" s="266"/>
      <c r="I9" s="266"/>
      <c r="J9" s="266"/>
      <c r="K9" s="266"/>
      <c r="L9" s="272"/>
      <c r="N9" s="199"/>
      <c r="O9" s="199"/>
      <c r="P9" s="199"/>
      <c r="Q9" s="200"/>
      <c r="R9" s="200"/>
      <c r="S9" s="200"/>
    </row>
    <row r="10" spans="1:20" x14ac:dyDescent="0.2">
      <c r="A10" s="265"/>
      <c r="B10" s="266"/>
      <c r="C10" s="266"/>
      <c r="D10" s="266"/>
      <c r="E10" s="266"/>
      <c r="F10" s="266"/>
      <c r="G10" s="266"/>
      <c r="H10" s="266"/>
      <c r="I10" s="266"/>
      <c r="J10" s="266"/>
      <c r="K10" s="266"/>
      <c r="L10" s="272"/>
      <c r="N10" s="199"/>
      <c r="O10" s="199"/>
      <c r="P10" s="199"/>
      <c r="Q10" s="200"/>
      <c r="R10" s="200"/>
      <c r="S10" s="200"/>
    </row>
    <row r="11" spans="1:20" x14ac:dyDescent="0.2">
      <c r="A11" s="265"/>
      <c r="B11" s="266"/>
      <c r="C11" s="266"/>
      <c r="D11" s="266"/>
      <c r="E11" s="266"/>
      <c r="F11" s="266"/>
      <c r="G11" s="266"/>
      <c r="H11" s="266"/>
      <c r="I11" s="266"/>
      <c r="J11" s="266"/>
      <c r="K11" s="266"/>
      <c r="L11" s="272"/>
      <c r="N11" s="199"/>
      <c r="O11" s="199"/>
      <c r="P11" s="199"/>
      <c r="Q11" s="200"/>
      <c r="R11" s="200"/>
      <c r="S11" s="200"/>
    </row>
    <row r="12" spans="1:20" ht="60.75" customHeight="1" x14ac:dyDescent="0.2">
      <c r="A12" s="265"/>
      <c r="B12" s="1193" t="s">
        <v>178</v>
      </c>
      <c r="C12" s="1193" t="s">
        <v>174</v>
      </c>
      <c r="D12" s="361" t="s">
        <v>179</v>
      </c>
      <c r="E12" s="362" t="s">
        <v>180</v>
      </c>
      <c r="F12" s="363" t="s">
        <v>181</v>
      </c>
      <c r="G12" s="1212" t="s">
        <v>297</v>
      </c>
      <c r="H12" s="364" t="s">
        <v>192</v>
      </c>
      <c r="I12" s="364" t="s">
        <v>193</v>
      </c>
      <c r="J12" s="364" t="s">
        <v>200</v>
      </c>
      <c r="K12" s="266"/>
      <c r="L12" s="272"/>
      <c r="N12" s="1188" t="s">
        <v>231</v>
      </c>
      <c r="O12" s="1188"/>
      <c r="P12" s="1188"/>
      <c r="Q12" s="200"/>
      <c r="R12" s="200"/>
      <c r="S12" s="200"/>
    </row>
    <row r="13" spans="1:20" x14ac:dyDescent="0.2">
      <c r="A13" s="265"/>
      <c r="B13" s="1194"/>
      <c r="C13" s="1194"/>
      <c r="D13" s="365"/>
      <c r="E13" s="366"/>
      <c r="F13" s="367"/>
      <c r="G13" s="1213"/>
      <c r="H13" s="198">
        <v>0.21339999999999998</v>
      </c>
      <c r="I13" s="368">
        <v>0.02</v>
      </c>
      <c r="J13" s="368">
        <v>0.02</v>
      </c>
      <c r="K13" s="266"/>
      <c r="L13" s="272"/>
      <c r="N13" s="199"/>
      <c r="O13" s="199"/>
      <c r="P13" s="199"/>
      <c r="Q13" s="200"/>
      <c r="R13" s="200"/>
      <c r="S13" s="200"/>
    </row>
    <row r="14" spans="1:20" x14ac:dyDescent="0.2">
      <c r="A14" s="265"/>
      <c r="B14" s="478"/>
      <c r="C14" s="478"/>
      <c r="D14" s="266"/>
      <c r="E14" s="369"/>
      <c r="G14" s="479"/>
      <c r="H14" s="370"/>
      <c r="I14" s="480"/>
      <c r="J14" s="371"/>
      <c r="K14" s="266"/>
      <c r="L14" s="272"/>
      <c r="N14" s="195" t="s">
        <v>221</v>
      </c>
      <c r="O14" s="196" t="s">
        <v>219</v>
      </c>
      <c r="P14" s="197" t="s">
        <v>220</v>
      </c>
      <c r="Q14" s="201" t="s">
        <v>232</v>
      </c>
      <c r="R14" s="201"/>
      <c r="S14" s="201"/>
    </row>
    <row r="15" spans="1:20" ht="15.75" thickBot="1" x14ac:dyDescent="0.3">
      <c r="A15" s="265"/>
      <c r="B15" s="372" t="s">
        <v>438</v>
      </c>
      <c r="C15" s="373"/>
      <c r="D15" s="374"/>
      <c r="E15" s="194">
        <v>0.08</v>
      </c>
      <c r="F15" s="802">
        <f>KAT!B22</f>
        <v>8.5000000000000006E-2</v>
      </c>
      <c r="G15" s="274"/>
      <c r="H15" s="274"/>
      <c r="I15" s="274"/>
      <c r="J15" s="375"/>
      <c r="K15" s="266"/>
      <c r="L15" s="272"/>
      <c r="N15" s="202">
        <f>C37</f>
        <v>0</v>
      </c>
      <c r="O15" s="203">
        <f>D37</f>
        <v>0</v>
      </c>
      <c r="P15" s="204">
        <f>E37</f>
        <v>0</v>
      </c>
      <c r="Q15" s="1189" t="s">
        <v>174</v>
      </c>
      <c r="R15" s="1190"/>
      <c r="S15" s="1191"/>
    </row>
    <row r="16" spans="1:20" ht="15.75" thickTop="1" x14ac:dyDescent="0.25">
      <c r="A16" s="265"/>
      <c r="B16" s="540" t="s">
        <v>185</v>
      </c>
      <c r="C16" s="810"/>
      <c r="D16" s="541"/>
      <c r="E16" s="554"/>
      <c r="F16" s="542">
        <f>ROUND(IFERROR(E16*(100%+$F$15),0),2)</f>
        <v>0</v>
      </c>
      <c r="G16" s="543">
        <f>ROUND(IFERROR(F16*40*13/3*12,0),2)</f>
        <v>0</v>
      </c>
      <c r="H16" s="543">
        <f>(E16*40*13/3*12*$H$13)+G16</f>
        <v>0</v>
      </c>
      <c r="I16" s="544">
        <f>H16*(100%+$I$13)</f>
        <v>0</v>
      </c>
      <c r="J16" s="545">
        <f>I16*(100%+$J$13)</f>
        <v>0</v>
      </c>
      <c r="K16" s="266"/>
      <c r="L16" s="272"/>
      <c r="T16" s="417"/>
    </row>
    <row r="17" spans="1:20" ht="15" x14ac:dyDescent="0.25">
      <c r="A17" s="265"/>
      <c r="B17" s="548" t="s">
        <v>186</v>
      </c>
      <c r="C17" s="811"/>
      <c r="D17" s="549"/>
      <c r="E17" s="555">
        <f>ROUND(IFERROR(D17*(100%+$E$15),0),2)</f>
        <v>0</v>
      </c>
      <c r="F17" s="550">
        <f>ROUND(IFERROR(E17*(100%+$F$15),0),2)</f>
        <v>0</v>
      </c>
      <c r="G17" s="551">
        <f>ROUND(IFERROR(F17*40*13/3*12,0),2)</f>
        <v>0</v>
      </c>
      <c r="H17" s="551">
        <f>(E17*40*13/3*12*$H$13)+G17</f>
        <v>0</v>
      </c>
      <c r="I17" s="552">
        <f>H17*(100%+$I$13)</f>
        <v>0</v>
      </c>
      <c r="J17" s="553">
        <f>I17*(100%+$J$13)</f>
        <v>0</v>
      </c>
      <c r="K17" s="266"/>
      <c r="L17" s="272"/>
      <c r="N17" s="352"/>
      <c r="O17" s="205"/>
      <c r="P17" s="206"/>
      <c r="Q17" s="207"/>
      <c r="R17" s="207"/>
      <c r="S17" s="207"/>
      <c r="T17" s="417"/>
    </row>
    <row r="18" spans="1:20" ht="27.75" thickBot="1" x14ac:dyDescent="0.3">
      <c r="A18" s="265"/>
      <c r="B18" s="546" t="s">
        <v>187</v>
      </c>
      <c r="C18" s="793"/>
      <c r="D18" s="547"/>
      <c r="E18" s="555">
        <f>ROUND(IFERROR(D18*(100%+$E$15),0),2)</f>
        <v>0</v>
      </c>
      <c r="F18" s="550">
        <f>ROUND(IFERROR(E18*(100%+$F$15),0),2)</f>
        <v>0</v>
      </c>
      <c r="G18" s="551">
        <f>ROUND(IFERROR(F18*40*13/3*12,0),2)</f>
        <v>0</v>
      </c>
      <c r="H18" s="551">
        <f>(E18*40*13/3*12*$H$13)+G18</f>
        <v>0</v>
      </c>
      <c r="I18" s="552">
        <f>H18*(100%+$I$13)</f>
        <v>0</v>
      </c>
      <c r="J18" s="561">
        <f>I18*(100%+$J$13)</f>
        <v>0</v>
      </c>
      <c r="K18" s="266"/>
      <c r="L18" s="272"/>
      <c r="N18" s="416">
        <f>(ROUND(E16*(100%+F15),2)+(E16*$H$13))*(100%+$I$13)*(100%+$J$13)*40*13/3*12*C16</f>
        <v>0</v>
      </c>
      <c r="O18" s="205">
        <f>(ROUND(E17*(100%+F15),2)+(E17*$H$13))*(100%+$I$13)*(100%+$J$13)*C17*40*13/3*12</f>
        <v>0</v>
      </c>
      <c r="P18" s="206">
        <f>(ROUND(E18*(100%+F15),2)+(E18*$H$13))*(100%+$I$13)*(100%+$J$13)*40*13/3*12*C18</f>
        <v>0</v>
      </c>
      <c r="Q18" s="207" t="s">
        <v>440</v>
      </c>
      <c r="R18" s="207"/>
      <c r="S18" s="207"/>
      <c r="T18" s="417"/>
    </row>
    <row r="19" spans="1:20" ht="15.75" thickBot="1" x14ac:dyDescent="0.3">
      <c r="A19" s="265"/>
      <c r="B19" s="386" t="s">
        <v>439</v>
      </c>
      <c r="C19" s="794"/>
      <c r="D19" s="391"/>
      <c r="E19" s="559">
        <f>IF(C18&lt;0,"Fehler",ROUND(IFERROR(((E18*C18+C17*E17+E16*C16)/C19),0),2))</f>
        <v>0</v>
      </c>
      <c r="F19" s="392">
        <f>ROUND(IFERROR(E19*(100%+$F$21),0),2)</f>
        <v>0</v>
      </c>
      <c r="G19" s="377">
        <f>ROUND(IFERROR(F19*40*13/3*12,0),2)</f>
        <v>0</v>
      </c>
      <c r="H19" s="377">
        <f>(E19*40*13/3*12*$H$13)+G19</f>
        <v>0</v>
      </c>
      <c r="I19" s="393">
        <f>H19*(100%+$I$13)</f>
        <v>0</v>
      </c>
      <c r="J19" s="378">
        <f>I19*(100%+$J$13)</f>
        <v>0</v>
      </c>
      <c r="K19" s="266"/>
      <c r="L19" s="272"/>
      <c r="N19" s="416"/>
      <c r="O19" s="205"/>
      <c r="P19" s="206"/>
      <c r="Q19" s="207"/>
      <c r="R19" s="207"/>
      <c r="S19" s="207"/>
      <c r="T19" s="417"/>
    </row>
    <row r="20" spans="1:20" ht="15.75" thickTop="1" x14ac:dyDescent="0.25">
      <c r="A20" s="265"/>
      <c r="B20" s="481"/>
      <c r="C20" s="795"/>
      <c r="D20" s="482"/>
      <c r="E20" s="560"/>
      <c r="G20" s="483"/>
      <c r="H20" s="267"/>
      <c r="I20" s="267"/>
      <c r="J20" s="277"/>
      <c r="K20" s="266"/>
      <c r="L20" s="272"/>
      <c r="N20" s="352">
        <f>(ROUND(E22*(100%+F21),2)+(E22*$H$13))*(100%+$I$13)*(100%+$J$13)*C22*40*13/3*12</f>
        <v>0</v>
      </c>
      <c r="O20" s="205">
        <f>(ROUND(E23*(100%+F21),2)+(E23*$H$13))*(100%+$I$13)*(100%+$J$13)*40*13/3*12*C23</f>
        <v>0</v>
      </c>
      <c r="P20" s="206">
        <f>(ROUND(E24*(100%+F21),2)+(E24*$H$13))*(100%+$I$13)*(100%+$J$13)*40*13/3*12*C24</f>
        <v>0</v>
      </c>
      <c r="Q20" s="208" t="s">
        <v>441</v>
      </c>
      <c r="R20" s="208"/>
      <c r="S20" s="208"/>
    </row>
    <row r="21" spans="1:20" ht="15.75" thickBot="1" x14ac:dyDescent="0.3">
      <c r="A21" s="265"/>
      <c r="B21" s="389" t="s">
        <v>182</v>
      </c>
      <c r="C21" s="796"/>
      <c r="D21" s="415"/>
      <c r="E21" s="194"/>
      <c r="F21" s="379">
        <f>KAT!B23</f>
        <v>4.1500000000000002E-2</v>
      </c>
      <c r="G21" s="380"/>
      <c r="H21" s="380"/>
      <c r="I21" s="380"/>
      <c r="J21" s="381"/>
      <c r="K21" s="266"/>
      <c r="L21" s="272"/>
      <c r="N21" s="467">
        <f>SUM(N17:N20)</f>
        <v>0</v>
      </c>
      <c r="O21" s="468">
        <f>SUM(O17:O20)</f>
        <v>0</v>
      </c>
      <c r="P21" s="469">
        <f>SUM(P17:P20)</f>
        <v>0</v>
      </c>
      <c r="Q21" s="1198" t="s">
        <v>442</v>
      </c>
      <c r="R21" s="1199"/>
      <c r="S21" s="1200"/>
    </row>
    <row r="22" spans="1:20" ht="16.5" thickTop="1" thickBot="1" x14ac:dyDescent="0.3">
      <c r="A22" s="265"/>
      <c r="B22" s="382" t="s">
        <v>185</v>
      </c>
      <c r="C22" s="810"/>
      <c r="D22" s="412"/>
      <c r="E22" s="556">
        <f>ROUND(IFERROR(D22*(100%+$E$21),0),2)</f>
        <v>0</v>
      </c>
      <c r="F22" s="273"/>
      <c r="G22" s="267"/>
      <c r="H22" s="267"/>
      <c r="I22" s="267"/>
      <c r="J22" s="383"/>
      <c r="K22" s="266"/>
      <c r="L22" s="272"/>
      <c r="N22" s="465" t="e">
        <f>N21/N15</f>
        <v>#DIV/0!</v>
      </c>
      <c r="O22" s="470" t="e">
        <f>O21/O15</f>
        <v>#DIV/0!</v>
      </c>
      <c r="P22" s="466" t="e">
        <f>P21/P15</f>
        <v>#DIV/0!</v>
      </c>
      <c r="Q22" s="1195" t="s">
        <v>328</v>
      </c>
      <c r="R22" s="1196"/>
      <c r="S22" s="1197"/>
    </row>
    <row r="23" spans="1:20" ht="15.75" thickTop="1" x14ac:dyDescent="0.25">
      <c r="A23" s="265"/>
      <c r="B23" s="384" t="s">
        <v>186</v>
      </c>
      <c r="C23" s="811"/>
      <c r="D23" s="413"/>
      <c r="E23" s="557">
        <f>ROUND(IFERROR(D23*(100%+$E$21),0),2)</f>
        <v>0</v>
      </c>
      <c r="F23" s="273"/>
      <c r="G23" s="267"/>
      <c r="H23" s="267"/>
      <c r="I23" s="267"/>
      <c r="J23" s="383"/>
      <c r="K23" s="266"/>
      <c r="L23" s="272"/>
      <c r="N23" s="200"/>
      <c r="O23" s="200"/>
      <c r="P23" s="200"/>
      <c r="Q23" s="200"/>
      <c r="R23" s="200"/>
      <c r="S23" s="200"/>
    </row>
    <row r="24" spans="1:20" ht="27.75" thickBot="1" x14ac:dyDescent="0.3">
      <c r="A24" s="265"/>
      <c r="B24" s="385" t="s">
        <v>187</v>
      </c>
      <c r="C24" s="793">
        <f>C25-C22-C23</f>
        <v>0</v>
      </c>
      <c r="D24" s="414"/>
      <c r="E24" s="558">
        <f>ROUND(IFERROR(D24*(100%+$E$21),0),2)</f>
        <v>0</v>
      </c>
      <c r="F24" s="390"/>
      <c r="G24" s="376"/>
      <c r="H24" s="376"/>
      <c r="I24" s="376"/>
      <c r="J24" s="383"/>
      <c r="K24" s="266"/>
      <c r="L24" s="272"/>
      <c r="N24" s="200"/>
      <c r="O24" s="200"/>
      <c r="P24" s="200"/>
      <c r="Q24" s="200"/>
      <c r="R24" s="200"/>
      <c r="S24" s="200"/>
    </row>
    <row r="25" spans="1:20" ht="15.75" thickBot="1" x14ac:dyDescent="0.3">
      <c r="A25" s="265"/>
      <c r="B25" s="386" t="s">
        <v>201</v>
      </c>
      <c r="C25" s="794">
        <f>IFERROR(B_KZP_Kalkulation!J25,0)</f>
        <v>0</v>
      </c>
      <c r="D25" s="391"/>
      <c r="E25" s="559">
        <f>IF(C24&lt;0,"Fehler",ROUND(IFERROR(((E24*C24+C23*E23+E22*C22)/C25),0),2))</f>
        <v>0</v>
      </c>
      <c r="F25" s="392">
        <f>ROUND(IFERROR(E25*(100%+$F$21),0),2)</f>
        <v>0</v>
      </c>
      <c r="G25" s="377">
        <f>ROUND(IFERROR(F25*40*13/3*12,0),2)</f>
        <v>0</v>
      </c>
      <c r="H25" s="377">
        <f>(E25*40*13/3*12*$H$13)+G25</f>
        <v>0</v>
      </c>
      <c r="I25" s="393">
        <f>H25*(100%+$I$13)</f>
        <v>0</v>
      </c>
      <c r="J25" s="378">
        <f>I25*(100%+$J$13)</f>
        <v>0</v>
      </c>
      <c r="K25" s="266"/>
      <c r="L25" s="272"/>
      <c r="N25" s="200"/>
      <c r="O25" s="200"/>
      <c r="P25" s="200"/>
      <c r="Q25" s="200"/>
      <c r="R25" s="200"/>
      <c r="S25" s="200"/>
    </row>
    <row r="26" spans="1:20" ht="15" thickTop="1" x14ac:dyDescent="0.2">
      <c r="A26" s="265"/>
      <c r="B26" s="387"/>
      <c r="C26" s="388"/>
      <c r="D26" s="266"/>
      <c r="E26" s="266"/>
      <c r="F26" s="266"/>
      <c r="G26" s="266"/>
      <c r="H26" s="266"/>
      <c r="I26" s="266"/>
      <c r="J26" s="266"/>
      <c r="K26" s="266"/>
      <c r="L26" s="272"/>
      <c r="N26" s="200"/>
      <c r="O26" s="200"/>
      <c r="P26" s="200"/>
      <c r="Q26" s="200"/>
      <c r="R26" s="200"/>
      <c r="S26" s="200"/>
    </row>
    <row r="27" spans="1:20" x14ac:dyDescent="0.2">
      <c r="A27" s="265"/>
      <c r="B27" s="266"/>
      <c r="C27" s="266"/>
      <c r="D27" s="266"/>
      <c r="E27" s="266"/>
      <c r="F27" s="266"/>
      <c r="G27" s="266"/>
      <c r="H27" s="266"/>
      <c r="I27" s="266"/>
      <c r="J27" s="266"/>
      <c r="K27" s="266"/>
      <c r="L27" s="272"/>
      <c r="N27" s="200"/>
      <c r="O27" s="200"/>
      <c r="P27" s="200"/>
      <c r="Q27" s="200"/>
      <c r="R27" s="200"/>
      <c r="S27" s="200"/>
    </row>
    <row r="28" spans="1:20" x14ac:dyDescent="0.2">
      <c r="A28" s="265"/>
      <c r="B28" s="484" t="s">
        <v>397</v>
      </c>
      <c r="C28" s="266"/>
      <c r="D28" s="266"/>
      <c r="E28" s="479"/>
      <c r="F28" s="266"/>
      <c r="G28" s="266"/>
      <c r="H28" s="266"/>
      <c r="I28" s="266"/>
      <c r="J28" s="266"/>
      <c r="K28" s="266"/>
      <c r="L28" s="272"/>
      <c r="N28" s="200"/>
      <c r="O28" s="200"/>
      <c r="P28" s="200"/>
      <c r="Q28" s="200"/>
      <c r="R28" s="200"/>
      <c r="S28" s="200"/>
    </row>
    <row r="29" spans="1:20" s="127" customFormat="1" ht="15" thickBot="1" x14ac:dyDescent="0.25">
      <c r="A29" s="265"/>
      <c r="B29" s="485"/>
      <c r="C29" s="270"/>
      <c r="D29" s="270"/>
      <c r="E29" s="270"/>
      <c r="F29" s="270"/>
      <c r="G29" s="270"/>
      <c r="H29" s="266"/>
      <c r="I29" s="266"/>
      <c r="J29" s="266"/>
      <c r="K29" s="266"/>
      <c r="L29" s="272"/>
      <c r="N29" s="200"/>
      <c r="O29" s="200"/>
      <c r="P29" s="200"/>
      <c r="Q29" s="200"/>
      <c r="R29" s="200"/>
      <c r="S29" s="200"/>
    </row>
    <row r="30" spans="1:20" s="127" customFormat="1" x14ac:dyDescent="0.2">
      <c r="A30" s="265"/>
      <c r="B30" s="1209" t="s">
        <v>449</v>
      </c>
      <c r="C30" s="394" t="s">
        <v>221</v>
      </c>
      <c r="D30" s="394" t="s">
        <v>219</v>
      </c>
      <c r="E30" s="395" t="s">
        <v>220</v>
      </c>
      <c r="F30" s="270"/>
      <c r="G30" s="270"/>
      <c r="H30" s="486"/>
      <c r="I30" s="266"/>
      <c r="J30" s="266"/>
      <c r="K30" s="266"/>
      <c r="L30" s="272"/>
      <c r="N30" s="200"/>
      <c r="O30" s="200"/>
      <c r="P30" s="200"/>
      <c r="Q30" s="200"/>
      <c r="R30" s="200"/>
      <c r="S30" s="200"/>
    </row>
    <row r="31" spans="1:20" s="127" customFormat="1" ht="26.25" thickBot="1" x14ac:dyDescent="0.25">
      <c r="A31" s="265"/>
      <c r="B31" s="1210"/>
      <c r="C31" s="396" t="s">
        <v>222</v>
      </c>
      <c r="D31" s="397" t="s">
        <v>223</v>
      </c>
      <c r="E31" s="398" t="s">
        <v>224</v>
      </c>
      <c r="F31" s="270"/>
      <c r="G31" s="270"/>
      <c r="H31" s="266"/>
      <c r="I31" s="266"/>
      <c r="J31" s="266"/>
      <c r="K31" s="266"/>
      <c r="L31" s="272"/>
      <c r="N31" s="200"/>
      <c r="O31" s="200"/>
      <c r="P31" s="200"/>
      <c r="Q31" s="200"/>
      <c r="R31" s="200"/>
      <c r="S31" s="200"/>
    </row>
    <row r="32" spans="1:20" s="127" customFormat="1" ht="15" thickBot="1" x14ac:dyDescent="0.25">
      <c r="A32" s="265"/>
      <c r="B32" s="485"/>
      <c r="C32" s="1192"/>
      <c r="D32" s="1192"/>
      <c r="E32" s="1192"/>
      <c r="F32" s="1192"/>
      <c r="G32" s="487"/>
      <c r="H32" s="266"/>
      <c r="I32" s="266"/>
      <c r="J32" s="266"/>
      <c r="K32" s="266"/>
      <c r="L32" s="272"/>
      <c r="N32" s="200"/>
      <c r="O32" s="200"/>
      <c r="P32" s="200"/>
      <c r="Q32" s="200"/>
      <c r="R32" s="200"/>
      <c r="S32" s="200"/>
    </row>
    <row r="33" spans="1:23" s="127" customFormat="1" x14ac:dyDescent="0.2">
      <c r="A33" s="399"/>
      <c r="B33" s="495" t="s">
        <v>225</v>
      </c>
      <c r="C33" s="496">
        <f>IFERROR(((E22*C22+C16*E16)*40*13/3)/SUM(C16,C22),0)</f>
        <v>0</v>
      </c>
      <c r="D33" s="496">
        <f>IFERROR(((E23*C23+E17*C17)*40*13/3)/SUM(C17,C23),0)</f>
        <v>0</v>
      </c>
      <c r="E33" s="497">
        <f>IFERROR(((C18*E18+E24*C24)*40*13/3)/SUM(C18,C24),0)</f>
        <v>0</v>
      </c>
      <c r="F33" s="270"/>
      <c r="G33" s="270"/>
      <c r="H33" s="266"/>
      <c r="I33" s="266"/>
      <c r="J33" s="266"/>
      <c r="K33" s="266"/>
      <c r="L33" s="272"/>
      <c r="N33" s="200"/>
      <c r="O33" s="200"/>
      <c r="P33" s="200"/>
      <c r="Q33" s="200"/>
      <c r="R33" s="200"/>
      <c r="S33" s="200"/>
    </row>
    <row r="34" spans="1:23" ht="15" thickBot="1" x14ac:dyDescent="0.25">
      <c r="A34" s="399"/>
      <c r="B34" s="400" t="s">
        <v>226</v>
      </c>
      <c r="C34" s="401">
        <f>40*13/3</f>
        <v>173.33333333333334</v>
      </c>
      <c r="D34" s="401">
        <f t="shared" ref="D34:E34" si="0">40*13/3</f>
        <v>173.33333333333334</v>
      </c>
      <c r="E34" s="498">
        <f t="shared" si="0"/>
        <v>173.33333333333334</v>
      </c>
      <c r="F34" s="3"/>
      <c r="G34" s="3"/>
      <c r="H34" s="3"/>
      <c r="I34" s="3"/>
      <c r="J34" s="3"/>
      <c r="K34" s="3"/>
      <c r="L34" s="4"/>
      <c r="N34" s="200"/>
      <c r="O34" s="200"/>
      <c r="P34" s="200"/>
      <c r="Q34" s="200"/>
      <c r="R34" s="200"/>
      <c r="S34" s="200"/>
    </row>
    <row r="35" spans="1:23" ht="15" thickBot="1" x14ac:dyDescent="0.25">
      <c r="A35" s="2"/>
      <c r="B35" s="402" t="s">
        <v>233</v>
      </c>
      <c r="C35" s="403">
        <f>C33/C34</f>
        <v>0</v>
      </c>
      <c r="D35" s="404">
        <f t="shared" ref="D35:E35" si="1">D33/D34</f>
        <v>0</v>
      </c>
      <c r="E35" s="405">
        <f t="shared" si="1"/>
        <v>0</v>
      </c>
      <c r="F35" s="3"/>
      <c r="G35" s="3"/>
      <c r="H35" s="3"/>
      <c r="I35" s="3"/>
      <c r="J35" s="3"/>
      <c r="K35" s="3"/>
      <c r="L35" s="4"/>
      <c r="N35" s="200"/>
      <c r="O35" s="200"/>
      <c r="P35" s="200"/>
      <c r="Q35" s="200"/>
      <c r="R35" s="200"/>
      <c r="S35" s="200"/>
    </row>
    <row r="36" spans="1:23" ht="15" thickBot="1" x14ac:dyDescent="0.25">
      <c r="A36" s="2"/>
      <c r="B36" s="3"/>
      <c r="C36" s="3"/>
      <c r="D36" s="3"/>
      <c r="E36" s="3"/>
      <c r="F36" s="3"/>
      <c r="G36" s="3"/>
      <c r="H36" s="3"/>
      <c r="I36" s="3"/>
      <c r="J36" s="3"/>
      <c r="K36" s="3"/>
      <c r="L36" s="4"/>
      <c r="N36" s="200"/>
      <c r="O36" s="200"/>
      <c r="P36" s="200"/>
      <c r="Q36" s="200"/>
      <c r="R36" s="200"/>
      <c r="S36" s="200"/>
    </row>
    <row r="37" spans="1:23" x14ac:dyDescent="0.2">
      <c r="A37" s="2"/>
      <c r="B37" s="499" t="s">
        <v>174</v>
      </c>
      <c r="C37" s="500">
        <f>C16+C22</f>
        <v>0</v>
      </c>
      <c r="D37" s="500">
        <f>C17+C23</f>
        <v>0</v>
      </c>
      <c r="E37" s="501">
        <f>C18+C24</f>
        <v>0</v>
      </c>
      <c r="F37" s="3"/>
      <c r="G37" s="488"/>
      <c r="H37" s="3"/>
      <c r="I37" s="3"/>
      <c r="J37" s="3"/>
      <c r="K37" s="3"/>
      <c r="L37" s="4"/>
      <c r="N37" s="200"/>
      <c r="O37" s="200"/>
      <c r="P37" s="200"/>
      <c r="Q37" s="200"/>
      <c r="R37" s="200"/>
      <c r="S37" s="200"/>
    </row>
    <row r="38" spans="1:23" ht="15" thickBot="1" x14ac:dyDescent="0.25">
      <c r="A38" s="2"/>
      <c r="B38" s="400" t="s">
        <v>227</v>
      </c>
      <c r="C38" s="1204">
        <f>IFERROR(SUM(C37:E37),0)</f>
        <v>0</v>
      </c>
      <c r="D38" s="1204"/>
      <c r="E38" s="1205"/>
      <c r="F38" s="3"/>
      <c r="G38" s="3"/>
      <c r="H38" s="3"/>
      <c r="I38" s="3"/>
      <c r="J38" s="3"/>
      <c r="K38" s="3"/>
      <c r="L38" s="4"/>
      <c r="N38" s="200"/>
      <c r="O38" s="200"/>
      <c r="P38" s="200"/>
      <c r="Q38" s="200"/>
      <c r="R38" s="200"/>
      <c r="S38" s="200"/>
    </row>
    <row r="39" spans="1:23" ht="15" thickBot="1" x14ac:dyDescent="0.25">
      <c r="A39" s="2"/>
      <c r="B39" s="406" t="s">
        <v>228</v>
      </c>
      <c r="C39" s="407">
        <f>IFERROR(C37/C38,0)</f>
        <v>0</v>
      </c>
      <c r="D39" s="408">
        <f>IFERROR(D37/C38,0)</f>
        <v>0</v>
      </c>
      <c r="E39" s="409">
        <f>IFERROR(E37/C38,0)</f>
        <v>0</v>
      </c>
      <c r="F39" s="3"/>
      <c r="G39" s="3"/>
      <c r="H39" s="3"/>
      <c r="I39" s="3"/>
      <c r="J39" s="3"/>
      <c r="K39" s="3"/>
      <c r="L39" s="4"/>
      <c r="N39" s="200"/>
      <c r="O39" s="200"/>
      <c r="P39" s="200"/>
      <c r="Q39" s="200"/>
      <c r="R39" s="200"/>
      <c r="S39" s="200"/>
    </row>
    <row r="40" spans="1:23" ht="15" thickBot="1" x14ac:dyDescent="0.25">
      <c r="A40" s="2"/>
      <c r="B40" s="3"/>
      <c r="C40" s="3"/>
      <c r="D40" s="3"/>
      <c r="E40" s="3"/>
      <c r="F40" s="3"/>
      <c r="G40" s="3"/>
      <c r="H40" s="3"/>
      <c r="I40" s="3"/>
      <c r="J40" s="3"/>
      <c r="K40" s="3"/>
      <c r="L40" s="4"/>
      <c r="N40" s="200"/>
      <c r="O40" s="200"/>
      <c r="P40" s="200"/>
      <c r="Q40" s="200"/>
      <c r="R40" s="200"/>
      <c r="S40" s="200"/>
    </row>
    <row r="41" spans="1:23" ht="15.75" thickBot="1" x14ac:dyDescent="0.3">
      <c r="A41" s="2"/>
      <c r="B41" s="410" t="s">
        <v>229</v>
      </c>
      <c r="C41" s="1206">
        <f>IFERROR(C39*C35+D35*D39+E35*E39,0)</f>
        <v>0</v>
      </c>
      <c r="D41" s="1207"/>
      <c r="E41" s="1208"/>
      <c r="F41" s="489" t="str">
        <f>IF(C41&gt;KAT!$E$42*110%,"Forderung liegt mehr als 10% über dem regional üblichen Entgelt.","")</f>
        <v/>
      </c>
      <c r="G41" s="266"/>
      <c r="H41" s="3"/>
      <c r="I41" s="3"/>
      <c r="J41" s="3"/>
      <c r="K41" s="3"/>
      <c r="L41" s="4"/>
    </row>
    <row r="42" spans="1:23" ht="15.75" thickBot="1" x14ac:dyDescent="0.3">
      <c r="A42" s="2"/>
      <c r="B42" s="429"/>
      <c r="C42" s="1211"/>
      <c r="D42" s="1211"/>
      <c r="E42" s="1211"/>
      <c r="F42" s="266"/>
      <c r="G42" s="266"/>
      <c r="H42" s="3"/>
      <c r="I42" s="3"/>
      <c r="J42" s="3"/>
      <c r="K42" s="3"/>
      <c r="L42" s="411"/>
      <c r="N42" s="430" t="s">
        <v>305</v>
      </c>
      <c r="O42" s="430" t="s">
        <v>306</v>
      </c>
      <c r="P42" s="430" t="s">
        <v>307</v>
      </c>
      <c r="Q42" s="430" t="s">
        <v>308</v>
      </c>
      <c r="R42" s="430" t="s">
        <v>309</v>
      </c>
      <c r="S42" s="430" t="s">
        <v>310</v>
      </c>
      <c r="T42" s="430" t="s">
        <v>311</v>
      </c>
      <c r="U42" s="430" t="s">
        <v>312</v>
      </c>
      <c r="V42" s="430" t="s">
        <v>313</v>
      </c>
      <c r="W42" s="430" t="s">
        <v>314</v>
      </c>
    </row>
    <row r="43" spans="1:23" ht="15" thickBot="1" x14ac:dyDescent="0.25">
      <c r="A43" s="2"/>
      <c r="B43" s="492" t="s">
        <v>230</v>
      </c>
      <c r="C43" s="493">
        <f>IFERROR(N22,0)</f>
        <v>0</v>
      </c>
      <c r="D43" s="493">
        <f t="shared" ref="D43:E43" si="2">IFERROR(O22,0)</f>
        <v>0</v>
      </c>
      <c r="E43" s="494">
        <f t="shared" si="2"/>
        <v>0</v>
      </c>
      <c r="F43" s="3"/>
      <c r="G43" s="3"/>
      <c r="H43" s="3"/>
      <c r="I43" s="3"/>
      <c r="J43" s="3"/>
      <c r="K43" s="3"/>
      <c r="L43" s="411"/>
      <c r="N43" s="431">
        <f>C35</f>
        <v>0</v>
      </c>
      <c r="O43" s="431">
        <f>D35</f>
        <v>0</v>
      </c>
      <c r="P43" s="431">
        <f>E35</f>
        <v>0</v>
      </c>
      <c r="Q43" s="432">
        <f>C41</f>
        <v>0</v>
      </c>
      <c r="R43" s="433">
        <f>C37</f>
        <v>0</v>
      </c>
      <c r="S43" s="433">
        <f>D37</f>
        <v>0</v>
      </c>
      <c r="T43" s="433">
        <f>E37</f>
        <v>0</v>
      </c>
      <c r="U43" s="434">
        <f>C43</f>
        <v>0</v>
      </c>
      <c r="V43" s="434">
        <f>D43</f>
        <v>0</v>
      </c>
      <c r="W43" s="434">
        <f>E43</f>
        <v>0</v>
      </c>
    </row>
    <row r="44" spans="1:23" x14ac:dyDescent="0.2">
      <c r="A44" s="35"/>
      <c r="B44" s="490"/>
      <c r="C44" s="491"/>
      <c r="D44" s="491"/>
      <c r="E44" s="491"/>
      <c r="F44" s="36"/>
      <c r="G44" s="36"/>
      <c r="H44" s="36"/>
      <c r="I44" s="36"/>
      <c r="J44" s="36"/>
      <c r="K44" s="36"/>
      <c r="L44" s="210"/>
      <c r="N44" s="473"/>
      <c r="O44" s="473"/>
      <c r="P44" s="473"/>
      <c r="Q44" s="474"/>
      <c r="R44" s="475"/>
      <c r="S44" s="475"/>
      <c r="T44" s="475"/>
      <c r="U44" s="476"/>
      <c r="V44" s="476"/>
      <c r="W44" s="476"/>
    </row>
    <row r="45" spans="1:23" ht="15" thickBot="1" x14ac:dyDescent="0.25"/>
    <row r="46" spans="1:23" ht="15" customHeight="1" thickBot="1" x14ac:dyDescent="0.25">
      <c r="D46" s="1201" t="s">
        <v>446</v>
      </c>
      <c r="E46" s="1202"/>
      <c r="F46" s="1202"/>
      <c r="G46" s="1202"/>
      <c r="H46" s="1202"/>
      <c r="I46" s="1203"/>
    </row>
  </sheetData>
  <customSheetViews>
    <customSheetView guid="{9119B1A0-FD79-4FE4-B78E-10E0AEB8080B}" showPageBreaks="1" showGridLines="0" fitToPage="1" printArea="1" hiddenColumns="1" view="pageLayout" topLeftCell="I38">
      <selection activeCell="I7" sqref="I7"/>
      <pageMargins left="0.70866141732283472" right="0.70866141732283472" top="0.78740157480314965" bottom="0.78740157480314965" header="0.31496062992125984" footer="0.31496062992125984"/>
      <pageSetup paperSize="9" scale="60" orientation="landscape" r:id="rId1"/>
      <headerFooter>
        <oddHeader>&amp;CSeite 3</oddHeader>
        <oddFooter>&amp;LVersion: 21.06.2022&amp;CVerhandlungsunterlagen SGB XI (vereinfacht B1)&amp;RPSK-Beschluss Nr. 3-2022 vom 21.06.2022</oddFooter>
      </headerFooter>
    </customSheetView>
  </customSheetViews>
  <mergeCells count="16">
    <mergeCell ref="A1:K1"/>
    <mergeCell ref="B2:L2"/>
    <mergeCell ref="D46:I46"/>
    <mergeCell ref="C38:E38"/>
    <mergeCell ref="C41:E41"/>
    <mergeCell ref="B30:B31"/>
    <mergeCell ref="B12:B13"/>
    <mergeCell ref="C42:E42"/>
    <mergeCell ref="G12:G13"/>
    <mergeCell ref="N12:P12"/>
    <mergeCell ref="Q15:S15"/>
    <mergeCell ref="C32:D32"/>
    <mergeCell ref="E32:F32"/>
    <mergeCell ref="C12:C13"/>
    <mergeCell ref="Q22:S22"/>
    <mergeCell ref="Q21:S21"/>
  </mergeCells>
  <phoneticPr fontId="60" type="noConversion"/>
  <conditionalFormatting sqref="E17:E19 J17:J19">
    <cfRule type="expression" dxfId="15" priority="121">
      <formula>$C17=0</formula>
    </cfRule>
  </conditionalFormatting>
  <conditionalFormatting sqref="F17:I19">
    <cfRule type="expression" dxfId="13" priority="3">
      <formula>$C17=0</formula>
    </cfRule>
  </conditionalFormatting>
  <dataValidations xWindow="1013" yWindow="340" count="1">
    <dataValidation type="custom" allowBlank="1" showInputMessage="1" showErrorMessage="1" error="Maximale Steigerung um 10% " sqref="E15 E21" xr:uid="{00000000-0002-0000-0500-000001000000}">
      <formula1>E15&lt;=10%</formula1>
    </dataValidation>
  </dataValidations>
  <hyperlinks>
    <hyperlink ref="D46" location="'Anlage 1'!A1" display="Anlage 1" xr:uid="{00000000-0004-0000-0500-000000000000}"/>
    <hyperlink ref="D46:I46" location="B_KZP_Bewohnervertretung!A1" display="gehe weiter zu B_KZP_Bewohnervertretung" xr:uid="{00000000-0004-0000-0500-000001000000}"/>
  </hyperlinks>
  <pageMargins left="0.70866141732283472" right="0.70866141732283472" top="0.78740157480314965" bottom="0.78740157480314965" header="0.31496062992125984" footer="0.31496062992125984"/>
  <pageSetup paperSize="9" scale="59" orientation="landscape"/>
  <headerFooter>
    <oddHeader>&amp;CSeite 3</oddHeader>
    <oddFooter>&amp;LVersion: 25.11.2024&amp;CVerhandlungsunterlagen SGB XI (vereinfacht B1)&amp;RPSK-Beschluss vom 07.11.2024</oddFooter>
  </headerFooter>
  <extLst>
    <ext xmlns:x14="http://schemas.microsoft.com/office/spreadsheetml/2009/9/main" uri="{78C0D931-6437-407d-A8EE-F0AAD7539E65}">
      <x14:conditionalFormattings>
        <x14:conditionalFormatting xmlns:xm="http://schemas.microsoft.com/office/excel/2006/main">
          <x14:cfRule type="expression" priority="2" id="{16D72112-B707-48DB-82D4-3E7596C01A86}">
            <xm:f>'B_KZP_Allgemeine Angaben'!$N$58=0</xm:f>
            <x14:dxf>
              <font>
                <color theme="0" tint="-0.14996795556505021"/>
              </font>
              <fill>
                <patternFill>
                  <bgColor theme="0"/>
                </patternFill>
              </fill>
              <border>
                <left/>
                <right/>
                <top/>
                <bottom/>
                <vertical/>
                <horizontal/>
              </border>
            </x14:dxf>
          </x14:cfRule>
          <xm:sqref>B9:K13 B14:E14 G14:K14 B15:K19 B20:E20 G20:K20 B21:K43</xm:sqref>
        </x14:conditionalFormatting>
        <x14:conditionalFormatting xmlns:xm="http://schemas.microsoft.com/office/excel/2006/main">
          <x14:cfRule type="expression" priority="10" id="{5EE59F31-C23F-4B6F-B680-19FA1B8F0642}">
            <xm:f>KAT!$A$80="nein"</xm:f>
            <x14:dxf>
              <fill>
                <patternFill>
                  <bgColor theme="0"/>
                </patternFill>
              </fill>
            </x14:dxf>
          </x14:cfRule>
          <xm:sqref>F41</xm:sqref>
        </x14:conditionalFormatting>
      </x14:conditionalFormattings>
    </ext>
    <ext xmlns:x14="http://schemas.microsoft.com/office/spreadsheetml/2009/9/main" uri="{CCE6A557-97BC-4b89-ADB6-D9C93CAAB3DF}">
      <x14:dataValidations xmlns:xm="http://schemas.microsoft.com/office/excel/2006/main" xWindow="1013" yWindow="340" count="2">
        <x14:dataValidation type="list" allowBlank="1" showInputMessage="1" showErrorMessage="1" prompt="SV Beitrag ohne U1 Teilnahme = 20,335%_x000a_SV Beitrag mit U1 Teilnahme = 21,105 % " xr:uid="{00000000-0002-0000-0500-000002000000}">
          <x14:formula1>
            <xm:f>KAT!#REF!</xm:f>
          </x14:formula1>
          <xm:sqref>H14</xm:sqref>
        </x14:dataValidation>
        <x14:dataValidation type="list" allowBlank="1" showInputMessage="1" showErrorMessage="1" prompt="SV Beitrag ohne U1 Teilnahme =&gt; geringerer Wert_x000a_SV Beitrag mit U1 Teilnahme =&gt; höherer Wert" xr:uid="{00000000-0002-0000-0500-000003000000}">
          <x14:formula1>
            <xm:f>KAT!$C$37:$C$38</xm:f>
          </x14:formula1>
          <xm:sqref>H13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fitToPage="1"/>
  </sheetPr>
  <dimension ref="A1:Q67"/>
  <sheetViews>
    <sheetView showGridLines="0" zoomScaleNormal="100" workbookViewId="0">
      <selection activeCell="H6" sqref="H6"/>
    </sheetView>
  </sheetViews>
  <sheetFormatPr baseColWidth="10" defaultRowHeight="14.25" x14ac:dyDescent="0.2"/>
  <cols>
    <col min="1" max="2" width="3.625" style="42" customWidth="1"/>
    <col min="3" max="3" width="3.25" style="42" customWidth="1"/>
    <col min="4" max="4" width="3.125" style="42" customWidth="1"/>
    <col min="5" max="5" width="3.5" style="42" customWidth="1"/>
    <col min="6" max="6" width="11" style="42"/>
    <col min="7" max="7" width="3.125" style="42" customWidth="1"/>
    <col min="8" max="8" width="3.5" style="42" customWidth="1"/>
    <col min="9" max="9" width="11" style="42"/>
    <col min="10" max="10" width="11.875" style="42" customWidth="1"/>
    <col min="11" max="11" width="3.125" style="42" customWidth="1"/>
    <col min="12" max="12" width="17.75" style="42" customWidth="1"/>
    <col min="13" max="13" width="18.875" style="42" customWidth="1"/>
    <col min="14" max="14" width="4" style="42" customWidth="1"/>
  </cols>
  <sheetData>
    <row r="1" spans="1:17" ht="15.75" x14ac:dyDescent="0.25">
      <c r="A1" s="1214" t="s">
        <v>77</v>
      </c>
      <c r="B1" s="1215"/>
      <c r="C1" s="1215"/>
      <c r="D1" s="1215"/>
      <c r="E1" s="1215"/>
      <c r="F1" s="1215"/>
      <c r="G1" s="1215"/>
      <c r="H1" s="1215"/>
      <c r="I1" s="1215"/>
      <c r="J1" s="1215"/>
      <c r="K1" s="1215"/>
      <c r="L1" s="1215"/>
      <c r="M1" s="1215"/>
      <c r="N1" s="1216"/>
      <c r="O1" s="87"/>
    </row>
    <row r="2" spans="1:17" ht="15" x14ac:dyDescent="0.2">
      <c r="A2" s="1217"/>
      <c r="B2" s="1218"/>
      <c r="C2" s="1218"/>
      <c r="D2" s="1218"/>
      <c r="E2" s="1218"/>
      <c r="F2" s="1218"/>
      <c r="G2" s="1218"/>
      <c r="H2" s="1218"/>
      <c r="I2" s="1218"/>
      <c r="J2" s="1218"/>
      <c r="K2" s="1218"/>
      <c r="L2" s="1218"/>
      <c r="M2" s="1218"/>
      <c r="N2" s="1219"/>
      <c r="O2" s="9"/>
    </row>
    <row r="3" spans="1:17" ht="15.75" x14ac:dyDescent="0.25">
      <c r="A3" s="1220" t="str">
        <f>'B_KZP_Allgemeine Angaben'!A3</f>
        <v/>
      </c>
      <c r="B3" s="1221"/>
      <c r="C3" s="1221"/>
      <c r="D3" s="1221"/>
      <c r="E3" s="1221"/>
      <c r="F3" s="1221"/>
      <c r="G3" s="1221"/>
      <c r="H3" s="1221"/>
      <c r="I3" s="1221"/>
      <c r="J3" s="1221"/>
      <c r="K3" s="1221"/>
      <c r="L3" s="1221"/>
      <c r="M3" s="1221"/>
      <c r="N3" s="1222"/>
    </row>
    <row r="4" spans="1:17" ht="15.75" x14ac:dyDescent="0.25">
      <c r="A4" s="1220" t="str">
        <f>'B_KZP_Allgemeine Angaben'!A4:N4</f>
        <v/>
      </c>
      <c r="B4" s="1221"/>
      <c r="C4" s="1221"/>
      <c r="D4" s="1221"/>
      <c r="E4" s="1221"/>
      <c r="F4" s="1221"/>
      <c r="G4" s="1221"/>
      <c r="H4" s="1221"/>
      <c r="I4" s="1221"/>
      <c r="J4" s="1221"/>
      <c r="K4" s="1221"/>
      <c r="L4" s="1221"/>
      <c r="M4" s="1221"/>
      <c r="N4" s="1222"/>
      <c r="O4" s="1"/>
      <c r="Q4" s="9"/>
    </row>
    <row r="5" spans="1:17" ht="16.5" thickBot="1" x14ac:dyDescent="0.3">
      <c r="A5" s="40"/>
      <c r="B5" s="41"/>
      <c r="N5" s="43"/>
      <c r="O5" s="42"/>
      <c r="Q5" s="9"/>
    </row>
    <row r="6" spans="1:17" s="71" customFormat="1" ht="16.5" thickBot="1" x14ac:dyDescent="0.3">
      <c r="A6" s="69"/>
      <c r="B6" s="1223" t="s">
        <v>78</v>
      </c>
      <c r="C6" s="1223"/>
      <c r="D6" s="1223"/>
      <c r="E6" s="1223"/>
      <c r="F6" s="1223"/>
      <c r="G6" s="1224"/>
      <c r="H6" s="70"/>
      <c r="J6" s="41"/>
      <c r="K6" s="70"/>
      <c r="L6" s="1225" t="s">
        <v>504</v>
      </c>
      <c r="M6" s="1223"/>
      <c r="N6" s="72"/>
      <c r="Q6" s="82"/>
    </row>
    <row r="7" spans="1:17" ht="14.25" customHeight="1" x14ac:dyDescent="0.2">
      <c r="A7" s="40"/>
      <c r="N7" s="43"/>
      <c r="O7" s="42"/>
    </row>
    <row r="8" spans="1:17" ht="27" customHeight="1" x14ac:dyDescent="0.2">
      <c r="A8" s="40"/>
      <c r="B8" s="1226" t="s">
        <v>111</v>
      </c>
      <c r="C8" s="1226"/>
      <c r="D8" s="1226"/>
      <c r="E8" s="1226"/>
      <c r="F8" s="1226"/>
      <c r="G8" s="1226"/>
      <c r="H8" s="1226"/>
      <c r="I8" s="1226"/>
      <c r="J8" s="1226"/>
      <c r="K8" s="1226"/>
      <c r="L8" s="1226"/>
      <c r="M8" s="1226"/>
      <c r="N8" s="43"/>
      <c r="O8" s="42"/>
    </row>
    <row r="9" spans="1:17" ht="15.75" x14ac:dyDescent="0.25">
      <c r="A9" s="40"/>
      <c r="B9" s="44"/>
      <c r="N9" s="43"/>
      <c r="O9" s="42"/>
      <c r="Q9" s="45"/>
    </row>
    <row r="10" spans="1:17" s="71" customFormat="1" ht="15" x14ac:dyDescent="0.2">
      <c r="A10" s="73"/>
      <c r="B10" s="74" t="s">
        <v>79</v>
      </c>
      <c r="C10" s="74" t="s">
        <v>80</v>
      </c>
      <c r="D10" s="74"/>
      <c r="E10" s="74"/>
      <c r="F10" s="74"/>
      <c r="G10" s="74"/>
      <c r="I10" s="74"/>
      <c r="J10" s="74"/>
      <c r="N10" s="75"/>
    </row>
    <row r="11" spans="1:17" ht="12.75" customHeight="1" thickBot="1" x14ac:dyDescent="0.3">
      <c r="A11" s="40"/>
      <c r="B11" s="44"/>
      <c r="N11" s="43"/>
      <c r="O11" s="42"/>
    </row>
    <row r="12" spans="1:17" ht="16.5" thickBot="1" x14ac:dyDescent="0.3">
      <c r="A12" s="40"/>
      <c r="D12" s="76"/>
      <c r="F12" s="41" t="s">
        <v>81</v>
      </c>
      <c r="G12" s="45"/>
      <c r="H12" s="45"/>
      <c r="I12" s="45"/>
      <c r="N12" s="43"/>
      <c r="O12" s="42"/>
    </row>
    <row r="13" spans="1:17" ht="15" x14ac:dyDescent="0.2">
      <c r="A13" s="40"/>
      <c r="F13" s="74" t="s">
        <v>82</v>
      </c>
      <c r="G13" s="46"/>
      <c r="H13" s="46"/>
      <c r="I13" s="46"/>
      <c r="J13" s="46"/>
      <c r="K13" s="46"/>
      <c r="N13" s="43"/>
      <c r="O13" s="42"/>
    </row>
    <row r="14" spans="1:17" ht="12.75" customHeight="1" thickBot="1" x14ac:dyDescent="0.25">
      <c r="A14" s="40"/>
      <c r="F14" s="46"/>
      <c r="G14" s="46"/>
      <c r="H14" s="46"/>
      <c r="I14" s="46"/>
      <c r="J14" s="46"/>
      <c r="K14" s="46"/>
      <c r="N14" s="43"/>
      <c r="O14" s="42"/>
    </row>
    <row r="15" spans="1:17" ht="16.5" thickBot="1" x14ac:dyDescent="0.3">
      <c r="A15" s="40"/>
      <c r="D15" s="76"/>
      <c r="F15" s="41" t="s">
        <v>83</v>
      </c>
      <c r="G15" s="45"/>
      <c r="H15" s="45"/>
      <c r="I15" s="45"/>
      <c r="N15" s="43"/>
      <c r="O15" s="42"/>
    </row>
    <row r="16" spans="1:17" ht="15" x14ac:dyDescent="0.2">
      <c r="A16" s="40"/>
      <c r="F16" s="74" t="s">
        <v>84</v>
      </c>
      <c r="N16" s="43"/>
      <c r="O16" s="42"/>
    </row>
    <row r="17" spans="1:15" x14ac:dyDescent="0.2">
      <c r="A17" s="40"/>
      <c r="F17" s="46"/>
      <c r="N17" s="43"/>
      <c r="O17" s="42"/>
    </row>
    <row r="18" spans="1:15" s="71" customFormat="1" ht="15" x14ac:dyDescent="0.2">
      <c r="A18" s="73"/>
      <c r="B18" s="74" t="s">
        <v>85</v>
      </c>
      <c r="C18" s="74" t="s">
        <v>86</v>
      </c>
      <c r="D18" s="74"/>
      <c r="E18" s="74"/>
      <c r="F18" s="74"/>
      <c r="G18" s="74"/>
      <c r="H18" s="74"/>
      <c r="I18" s="74"/>
      <c r="J18" s="74"/>
      <c r="L18" s="74"/>
      <c r="M18" s="74"/>
      <c r="N18" s="77"/>
    </row>
    <row r="19" spans="1:15" ht="12.75" customHeight="1" thickBot="1" x14ac:dyDescent="0.25">
      <c r="A19" s="40"/>
      <c r="C19" s="45"/>
      <c r="D19" s="45"/>
      <c r="E19" s="45"/>
      <c r="F19" s="45"/>
      <c r="G19" s="45"/>
      <c r="H19" s="45"/>
      <c r="I19" s="45"/>
      <c r="J19" s="45"/>
      <c r="K19" s="45"/>
      <c r="L19" s="45"/>
      <c r="M19" s="45"/>
      <c r="N19" s="47"/>
      <c r="O19" s="42"/>
    </row>
    <row r="20" spans="1:15" ht="15" thickBot="1" x14ac:dyDescent="0.25">
      <c r="A20" s="40"/>
      <c r="C20" s="45"/>
      <c r="D20" s="78"/>
      <c r="E20" s="18"/>
      <c r="F20" s="1227" t="s">
        <v>87</v>
      </c>
      <c r="G20" s="1227"/>
      <c r="H20" s="1227"/>
      <c r="I20" s="1227"/>
      <c r="J20" s="1227"/>
      <c r="K20" s="1227"/>
      <c r="L20" s="1227"/>
      <c r="M20" s="66"/>
      <c r="N20" s="62"/>
      <c r="O20" s="42"/>
    </row>
    <row r="21" spans="1:15" x14ac:dyDescent="0.2">
      <c r="A21" s="40"/>
      <c r="C21" s="45"/>
      <c r="D21" s="18"/>
      <c r="E21" s="18"/>
      <c r="F21" s="79" t="s">
        <v>505</v>
      </c>
      <c r="G21" s="79"/>
      <c r="H21" s="79"/>
      <c r="I21" s="79"/>
      <c r="J21" s="79"/>
      <c r="K21" s="79"/>
      <c r="L21" s="79"/>
      <c r="M21" s="66"/>
      <c r="N21" s="62"/>
      <c r="O21" s="88"/>
    </row>
    <row r="22" spans="1:15" x14ac:dyDescent="0.2">
      <c r="A22" s="40"/>
      <c r="C22" s="45"/>
      <c r="D22" s="18"/>
      <c r="E22" s="18"/>
      <c r="F22" s="1227"/>
      <c r="G22" s="1227"/>
      <c r="H22" s="1227"/>
      <c r="I22" s="1227"/>
      <c r="J22" s="1227"/>
      <c r="K22" s="1227"/>
      <c r="L22" s="1227"/>
      <c r="M22" s="66"/>
      <c r="N22" s="62"/>
      <c r="O22" s="42"/>
    </row>
    <row r="23" spans="1:15" ht="12.75" customHeight="1" thickBot="1" x14ac:dyDescent="0.25">
      <c r="A23" s="40"/>
      <c r="C23" s="45"/>
      <c r="D23" s="18"/>
      <c r="E23" s="18"/>
      <c r="F23" s="18"/>
      <c r="G23" s="18"/>
      <c r="H23" s="18"/>
      <c r="I23" s="18"/>
      <c r="J23" s="18"/>
      <c r="K23" s="18"/>
      <c r="L23" s="18"/>
      <c r="M23" s="18"/>
      <c r="N23" s="49"/>
      <c r="O23" s="42"/>
    </row>
    <row r="24" spans="1:15" ht="15" thickBot="1" x14ac:dyDescent="0.25">
      <c r="A24" s="40"/>
      <c r="C24" s="45"/>
      <c r="D24" s="78"/>
      <c r="E24" s="18"/>
      <c r="F24" s="1228" t="s">
        <v>506</v>
      </c>
      <c r="G24" s="1228"/>
      <c r="H24" s="1228"/>
      <c r="I24" s="1228"/>
      <c r="J24" s="1228"/>
      <c r="K24" s="1228"/>
      <c r="L24" s="1228"/>
      <c r="M24" s="67"/>
      <c r="N24" s="63"/>
      <c r="O24" s="48"/>
    </row>
    <row r="25" spans="1:15" x14ac:dyDescent="0.2">
      <c r="A25" s="40"/>
      <c r="C25" s="45"/>
      <c r="D25" s="18"/>
      <c r="E25" s="18"/>
      <c r="F25" s="18" t="s">
        <v>112</v>
      </c>
      <c r="G25" s="18"/>
      <c r="H25" s="18"/>
      <c r="I25" s="18"/>
      <c r="J25" s="18"/>
      <c r="K25" s="18"/>
      <c r="L25" s="18"/>
      <c r="M25" s="67"/>
      <c r="N25" s="63"/>
      <c r="O25" s="42"/>
    </row>
    <row r="26" spans="1:15" x14ac:dyDescent="0.2">
      <c r="A26" s="40"/>
      <c r="C26" s="45"/>
      <c r="D26" s="18"/>
      <c r="E26" s="18"/>
      <c r="F26" s="1228"/>
      <c r="G26" s="1228"/>
      <c r="H26" s="1228"/>
      <c r="I26" s="1228"/>
      <c r="J26" s="1228"/>
      <c r="K26" s="1228"/>
      <c r="L26" s="1228"/>
      <c r="M26" s="67"/>
      <c r="N26" s="63"/>
      <c r="O26" s="42"/>
    </row>
    <row r="27" spans="1:15" ht="14.85" customHeight="1" x14ac:dyDescent="0.2">
      <c r="A27" s="50"/>
      <c r="B27" s="51"/>
      <c r="C27" s="52"/>
      <c r="D27" s="53"/>
      <c r="E27" s="53"/>
      <c r="F27" s="53"/>
      <c r="G27" s="53"/>
      <c r="H27" s="53"/>
      <c r="I27" s="53"/>
      <c r="J27" s="53"/>
      <c r="K27" s="53"/>
      <c r="L27" s="53"/>
      <c r="M27" s="53"/>
      <c r="N27" s="54"/>
      <c r="O27" s="42"/>
    </row>
    <row r="28" spans="1:15" ht="14.85" customHeight="1" x14ac:dyDescent="0.2">
      <c r="A28" s="40"/>
      <c r="C28" s="45"/>
      <c r="D28" s="18"/>
      <c r="E28" s="18"/>
      <c r="F28" s="18"/>
      <c r="G28" s="18"/>
      <c r="H28" s="18"/>
      <c r="I28" s="18"/>
      <c r="J28" s="18"/>
      <c r="K28" s="18"/>
      <c r="L28" s="18"/>
      <c r="M28" s="18"/>
      <c r="N28" s="49"/>
      <c r="O28" s="42"/>
    </row>
    <row r="29" spans="1:15" s="71" customFormat="1" ht="15" x14ac:dyDescent="0.2">
      <c r="A29" s="73"/>
      <c r="B29" s="74" t="s">
        <v>88</v>
      </c>
      <c r="C29" s="74" t="s">
        <v>507</v>
      </c>
      <c r="D29" s="74"/>
      <c r="E29" s="74"/>
      <c r="F29" s="74"/>
      <c r="G29" s="74"/>
      <c r="H29" s="74"/>
      <c r="I29" s="74"/>
      <c r="J29" s="74"/>
      <c r="L29" s="74"/>
      <c r="M29" s="74"/>
      <c r="N29" s="77"/>
    </row>
    <row r="30" spans="1:15" ht="12.75" customHeight="1" x14ac:dyDescent="0.2">
      <c r="A30" s="40"/>
      <c r="C30" s="45"/>
      <c r="D30" s="18"/>
      <c r="E30" s="18"/>
      <c r="F30" s="18"/>
      <c r="G30" s="18"/>
      <c r="H30" s="18"/>
      <c r="I30" s="18"/>
      <c r="J30" s="18"/>
      <c r="K30" s="18"/>
      <c r="L30" s="18"/>
      <c r="M30" s="18"/>
      <c r="N30" s="49"/>
      <c r="O30" s="42"/>
    </row>
    <row r="31" spans="1:15" x14ac:dyDescent="0.2">
      <c r="A31" s="40"/>
      <c r="B31" t="s">
        <v>104</v>
      </c>
      <c r="N31" s="43"/>
      <c r="O31" s="42"/>
    </row>
    <row r="32" spans="1:15" x14ac:dyDescent="0.2">
      <c r="A32" s="40"/>
      <c r="B32" s="45" t="s">
        <v>421</v>
      </c>
      <c r="N32" s="43"/>
      <c r="O32" s="42"/>
    </row>
    <row r="33" spans="1:15" x14ac:dyDescent="0.2">
      <c r="A33" s="40"/>
      <c r="B33" s="45" t="s">
        <v>422</v>
      </c>
      <c r="N33" s="43"/>
      <c r="O33" s="42"/>
    </row>
    <row r="34" spans="1:15" x14ac:dyDescent="0.2">
      <c r="A34" s="40"/>
      <c r="B34" s="45" t="s">
        <v>423</v>
      </c>
      <c r="N34" s="43"/>
      <c r="O34" s="42"/>
    </row>
    <row r="35" spans="1:15" x14ac:dyDescent="0.2">
      <c r="A35" s="40"/>
      <c r="B35" s="45" t="s">
        <v>105</v>
      </c>
      <c r="N35" s="43"/>
      <c r="O35" s="42"/>
    </row>
    <row r="36" spans="1:15" x14ac:dyDescent="0.2">
      <c r="A36" s="40"/>
      <c r="B36"/>
      <c r="N36" s="43"/>
      <c r="O36" s="42"/>
    </row>
    <row r="37" spans="1:15" x14ac:dyDescent="0.2">
      <c r="A37" s="40"/>
      <c r="B37" s="45" t="s">
        <v>508</v>
      </c>
      <c r="C37" s="45"/>
      <c r="D37" s="45"/>
      <c r="E37" s="45"/>
      <c r="F37" s="45"/>
      <c r="G37" s="45"/>
      <c r="H37" s="45"/>
      <c r="I37" s="45"/>
      <c r="J37" s="45"/>
      <c r="K37" s="45"/>
      <c r="L37" s="45"/>
      <c r="M37" s="45"/>
      <c r="N37" s="43"/>
      <c r="O37" s="42"/>
    </row>
    <row r="38" spans="1:15" x14ac:dyDescent="0.2">
      <c r="A38" s="40"/>
      <c r="B38" s="1229"/>
      <c r="C38" s="1230"/>
      <c r="D38" s="1230"/>
      <c r="E38" s="1230"/>
      <c r="F38" s="1230"/>
      <c r="G38" s="1230"/>
      <c r="H38" s="1230"/>
      <c r="I38" s="1230"/>
      <c r="J38" s="1230"/>
      <c r="K38" s="1230"/>
      <c r="L38" s="1230"/>
      <c r="M38" s="1230"/>
      <c r="N38" s="43"/>
      <c r="O38" s="1"/>
    </row>
    <row r="39" spans="1:15" x14ac:dyDescent="0.2">
      <c r="A39" s="40"/>
      <c r="B39" s="1230"/>
      <c r="C39" s="1230"/>
      <c r="D39" s="1230"/>
      <c r="E39" s="1230"/>
      <c r="F39" s="1230"/>
      <c r="G39" s="1230"/>
      <c r="H39" s="1230"/>
      <c r="I39" s="1230"/>
      <c r="J39" s="1230"/>
      <c r="K39" s="1230"/>
      <c r="L39" s="1230"/>
      <c r="M39" s="1230"/>
      <c r="N39" s="43"/>
      <c r="O39" s="42"/>
    </row>
    <row r="40" spans="1:15" x14ac:dyDescent="0.2">
      <c r="A40" s="40"/>
      <c r="B40" s="1230"/>
      <c r="C40" s="1230"/>
      <c r="D40" s="1230"/>
      <c r="E40" s="1230"/>
      <c r="F40" s="1230"/>
      <c r="G40" s="1230"/>
      <c r="H40" s="1230"/>
      <c r="I40" s="1230"/>
      <c r="J40" s="1230"/>
      <c r="K40" s="1230"/>
      <c r="L40" s="1230"/>
      <c r="M40" s="1230"/>
      <c r="N40" s="43"/>
      <c r="O40" s="42"/>
    </row>
    <row r="41" spans="1:15" x14ac:dyDescent="0.2">
      <c r="A41" s="40"/>
      <c r="B41" s="1230"/>
      <c r="C41" s="1230"/>
      <c r="D41" s="1230"/>
      <c r="E41" s="1230"/>
      <c r="F41" s="1230"/>
      <c r="G41" s="1230"/>
      <c r="H41" s="1230"/>
      <c r="I41" s="1230"/>
      <c r="J41" s="1230"/>
      <c r="K41" s="1230"/>
      <c r="L41" s="1230"/>
      <c r="M41" s="1230"/>
      <c r="N41" s="43"/>
      <c r="O41" s="42"/>
    </row>
    <row r="42" spans="1:15" x14ac:dyDescent="0.2">
      <c r="A42" s="40"/>
      <c r="B42" s="1230"/>
      <c r="C42" s="1230"/>
      <c r="D42" s="1230"/>
      <c r="E42" s="1230"/>
      <c r="F42" s="1230"/>
      <c r="G42" s="1230"/>
      <c r="H42" s="1230"/>
      <c r="I42" s="1230"/>
      <c r="J42" s="1230"/>
      <c r="K42" s="1230"/>
      <c r="L42" s="1230"/>
      <c r="M42" s="1230"/>
      <c r="N42" s="43"/>
      <c r="O42" s="42"/>
    </row>
    <row r="43" spans="1:15" x14ac:dyDescent="0.2">
      <c r="A43" s="40"/>
      <c r="B43" s="1230"/>
      <c r="C43" s="1230"/>
      <c r="D43" s="1230"/>
      <c r="E43" s="1230"/>
      <c r="F43" s="1230"/>
      <c r="G43" s="1230"/>
      <c r="H43" s="1230"/>
      <c r="I43" s="1230"/>
      <c r="J43" s="1230"/>
      <c r="K43" s="1230"/>
      <c r="L43" s="1230"/>
      <c r="M43" s="1230"/>
      <c r="N43" s="43"/>
      <c r="O43" s="42"/>
    </row>
    <row r="44" spans="1:15" x14ac:dyDescent="0.2">
      <c r="A44" s="40"/>
      <c r="B44" s="1230"/>
      <c r="C44" s="1230"/>
      <c r="D44" s="1230"/>
      <c r="E44" s="1230"/>
      <c r="F44" s="1230"/>
      <c r="G44" s="1230"/>
      <c r="H44" s="1230"/>
      <c r="I44" s="1230"/>
      <c r="J44" s="1230"/>
      <c r="K44" s="1230"/>
      <c r="L44" s="1230"/>
      <c r="M44" s="1230"/>
      <c r="N44" s="43"/>
      <c r="O44" s="42"/>
    </row>
    <row r="45" spans="1:15" x14ac:dyDescent="0.2">
      <c r="A45" s="40"/>
      <c r="B45" s="1230"/>
      <c r="C45" s="1230"/>
      <c r="D45" s="1230"/>
      <c r="E45" s="1230"/>
      <c r="F45" s="1230"/>
      <c r="G45" s="1230"/>
      <c r="H45" s="1230"/>
      <c r="I45" s="1230"/>
      <c r="J45" s="1230"/>
      <c r="K45" s="1230"/>
      <c r="L45" s="1230"/>
      <c r="M45" s="1230"/>
      <c r="N45" s="43"/>
      <c r="O45" s="42"/>
    </row>
    <row r="46" spans="1:15" x14ac:dyDescent="0.2">
      <c r="A46" s="40"/>
      <c r="B46" s="1230"/>
      <c r="C46" s="1230"/>
      <c r="D46" s="1230"/>
      <c r="E46" s="1230"/>
      <c r="F46" s="1230"/>
      <c r="G46" s="1230"/>
      <c r="H46" s="1230"/>
      <c r="I46" s="1230"/>
      <c r="J46" s="1230"/>
      <c r="K46" s="1230"/>
      <c r="L46" s="1230"/>
      <c r="M46" s="1230"/>
      <c r="N46" s="43"/>
      <c r="O46" s="42"/>
    </row>
    <row r="47" spans="1:15" x14ac:dyDescent="0.2">
      <c r="A47" s="40"/>
      <c r="B47" s="1230"/>
      <c r="C47" s="1230"/>
      <c r="D47" s="1230"/>
      <c r="E47" s="1230"/>
      <c r="F47" s="1230"/>
      <c r="G47" s="1230"/>
      <c r="H47" s="1230"/>
      <c r="I47" s="1230"/>
      <c r="J47" s="1230"/>
      <c r="K47" s="1230"/>
      <c r="L47" s="1230"/>
      <c r="M47" s="1230"/>
      <c r="N47" s="43"/>
      <c r="O47" s="42"/>
    </row>
    <row r="48" spans="1:15" x14ac:dyDescent="0.2">
      <c r="A48" s="40"/>
      <c r="B48" s="1230"/>
      <c r="C48" s="1230"/>
      <c r="D48" s="1230"/>
      <c r="E48" s="1230"/>
      <c r="F48" s="1230"/>
      <c r="G48" s="1230"/>
      <c r="H48" s="1230"/>
      <c r="I48" s="1230"/>
      <c r="J48" s="1230"/>
      <c r="K48" s="1230"/>
      <c r="L48" s="1230"/>
      <c r="M48" s="1230"/>
      <c r="N48" s="43"/>
      <c r="O48" s="42"/>
    </row>
    <row r="49" spans="1:15" x14ac:dyDescent="0.2">
      <c r="A49" s="40"/>
      <c r="B49" s="1230"/>
      <c r="C49" s="1230"/>
      <c r="D49" s="1230"/>
      <c r="E49" s="1230"/>
      <c r="F49" s="1230"/>
      <c r="G49" s="1230"/>
      <c r="H49" s="1230"/>
      <c r="I49" s="1230"/>
      <c r="J49" s="1230"/>
      <c r="K49" s="1230"/>
      <c r="L49" s="1230"/>
      <c r="M49" s="1230"/>
      <c r="N49" s="43"/>
      <c r="O49" s="42"/>
    </row>
    <row r="50" spans="1:15" x14ac:dyDescent="0.2">
      <c r="A50" s="40"/>
      <c r="B50" s="1230"/>
      <c r="C50" s="1230"/>
      <c r="D50" s="1230"/>
      <c r="E50" s="1230"/>
      <c r="F50" s="1230"/>
      <c r="G50" s="1230"/>
      <c r="H50" s="1230"/>
      <c r="I50" s="1230"/>
      <c r="J50" s="1230"/>
      <c r="K50" s="1230"/>
      <c r="L50" s="1230"/>
      <c r="M50" s="1230"/>
      <c r="N50" s="43"/>
      <c r="O50" s="42"/>
    </row>
    <row r="51" spans="1:15" x14ac:dyDescent="0.2">
      <c r="A51" s="40"/>
      <c r="B51" s="1230"/>
      <c r="C51" s="1230"/>
      <c r="D51" s="1230"/>
      <c r="E51" s="1230"/>
      <c r="F51" s="1230"/>
      <c r="G51" s="1230"/>
      <c r="H51" s="1230"/>
      <c r="I51" s="1230"/>
      <c r="J51" s="1230"/>
      <c r="K51" s="1230"/>
      <c r="L51" s="1230"/>
      <c r="M51" s="1230"/>
      <c r="N51" s="43"/>
      <c r="O51" s="42"/>
    </row>
    <row r="52" spans="1:15" x14ac:dyDescent="0.2">
      <c r="A52" s="40"/>
      <c r="B52" s="1230"/>
      <c r="C52" s="1230"/>
      <c r="D52" s="1230"/>
      <c r="E52" s="1230"/>
      <c r="F52" s="1230"/>
      <c r="G52" s="1230"/>
      <c r="H52" s="1230"/>
      <c r="I52" s="1230"/>
      <c r="J52" s="1230"/>
      <c r="K52" s="1230"/>
      <c r="L52" s="1230"/>
      <c r="M52" s="1230"/>
      <c r="N52" s="43"/>
      <c r="O52" s="42"/>
    </row>
    <row r="53" spans="1:15" x14ac:dyDescent="0.2">
      <c r="A53" s="40"/>
      <c r="B53" s="1230"/>
      <c r="C53" s="1230"/>
      <c r="D53" s="1230"/>
      <c r="E53" s="1230"/>
      <c r="F53" s="1230"/>
      <c r="G53" s="1230"/>
      <c r="H53" s="1230"/>
      <c r="I53" s="1230"/>
      <c r="J53" s="1230"/>
      <c r="K53" s="1230"/>
      <c r="L53" s="1230"/>
      <c r="M53" s="1230"/>
      <c r="N53" s="43"/>
      <c r="O53" s="42"/>
    </row>
    <row r="54" spans="1:15" x14ac:dyDescent="0.2">
      <c r="A54" s="40"/>
      <c r="B54" s="1230"/>
      <c r="C54" s="1230"/>
      <c r="D54" s="1230"/>
      <c r="E54" s="1230"/>
      <c r="F54" s="1230"/>
      <c r="G54" s="1230"/>
      <c r="H54" s="1230"/>
      <c r="I54" s="1230"/>
      <c r="J54" s="1230"/>
      <c r="K54" s="1230"/>
      <c r="L54" s="1230"/>
      <c r="M54" s="1230"/>
      <c r="N54" s="43"/>
      <c r="O54" s="42"/>
    </row>
    <row r="55" spans="1:15" x14ac:dyDescent="0.2">
      <c r="A55" s="40"/>
      <c r="B55" s="1230"/>
      <c r="C55" s="1230"/>
      <c r="D55" s="1230"/>
      <c r="E55" s="1230"/>
      <c r="F55" s="1230"/>
      <c r="G55" s="1230"/>
      <c r="H55" s="1230"/>
      <c r="I55" s="1230"/>
      <c r="J55" s="1230"/>
      <c r="K55" s="1230"/>
      <c r="L55" s="1230"/>
      <c r="M55" s="1230"/>
      <c r="N55" s="43"/>
      <c r="O55" s="42"/>
    </row>
    <row r="56" spans="1:15" x14ac:dyDescent="0.2">
      <c r="A56" s="40"/>
      <c r="B56" s="1230"/>
      <c r="C56" s="1230"/>
      <c r="D56" s="1230"/>
      <c r="E56" s="1230"/>
      <c r="F56" s="1230"/>
      <c r="G56" s="1230"/>
      <c r="H56" s="1230"/>
      <c r="I56" s="1230"/>
      <c r="J56" s="1230"/>
      <c r="K56" s="1230"/>
      <c r="L56" s="1230"/>
      <c r="M56" s="1230"/>
      <c r="N56" s="43"/>
      <c r="O56" s="42"/>
    </row>
    <row r="57" spans="1:15" x14ac:dyDescent="0.2">
      <c r="A57" s="40"/>
      <c r="N57" s="43"/>
      <c r="O57" s="42"/>
    </row>
    <row r="58" spans="1:15" x14ac:dyDescent="0.2">
      <c r="A58" s="40"/>
      <c r="N58" s="43"/>
      <c r="O58" s="42"/>
    </row>
    <row r="59" spans="1:15" x14ac:dyDescent="0.2">
      <c r="A59" s="40"/>
      <c r="J59" s="1231"/>
      <c r="K59" s="1231"/>
      <c r="L59" s="1231"/>
      <c r="M59" s="68"/>
      <c r="N59" s="43"/>
      <c r="O59" s="42"/>
    </row>
    <row r="60" spans="1:15" x14ac:dyDescent="0.2">
      <c r="A60" s="40"/>
      <c r="I60" s="55"/>
      <c r="N60" s="43"/>
      <c r="O60" s="42"/>
    </row>
    <row r="61" spans="1:15" x14ac:dyDescent="0.2">
      <c r="A61" s="40"/>
      <c r="N61" s="43"/>
      <c r="O61" s="42"/>
    </row>
    <row r="62" spans="1:15" x14ac:dyDescent="0.2">
      <c r="A62" s="40"/>
      <c r="B62" s="1234"/>
      <c r="C62" s="1107"/>
      <c r="D62" s="1107"/>
      <c r="E62" s="1107"/>
      <c r="F62" s="1107"/>
      <c r="G62" s="1107"/>
      <c r="H62" s="1107"/>
      <c r="I62" s="1107"/>
      <c r="K62" s="1234"/>
      <c r="L62" s="1107"/>
      <c r="M62" s="1107"/>
      <c r="N62" s="43"/>
      <c r="O62" s="42"/>
    </row>
    <row r="63" spans="1:15" x14ac:dyDescent="0.2">
      <c r="A63" s="40"/>
      <c r="B63" s="45" t="s">
        <v>57</v>
      </c>
      <c r="C63"/>
      <c r="D63"/>
      <c r="E63"/>
      <c r="F63"/>
      <c r="G63"/>
      <c r="H63"/>
      <c r="I63"/>
      <c r="J63"/>
      <c r="K63" s="1232" t="s">
        <v>89</v>
      </c>
      <c r="L63" s="1232"/>
      <c r="M63" s="1232"/>
      <c r="N63" s="43"/>
      <c r="O63" s="42"/>
    </row>
    <row r="64" spans="1:15" x14ac:dyDescent="0.2">
      <c r="A64" s="56"/>
      <c r="B64" s="80"/>
      <c r="C64" s="80"/>
      <c r="D64" s="80"/>
      <c r="E64" s="80"/>
      <c r="F64" s="80"/>
      <c r="G64" s="80"/>
      <c r="H64" s="80"/>
      <c r="I64" s="80"/>
      <c r="J64" s="81"/>
      <c r="K64" s="1233" t="s">
        <v>509</v>
      </c>
      <c r="L64" s="1233"/>
      <c r="M64" s="1233"/>
      <c r="N64" s="57"/>
      <c r="O64" s="42"/>
    </row>
    <row r="65" spans="2:14" ht="15" thickBot="1" x14ac:dyDescent="0.25"/>
    <row r="66" spans="2:14" ht="14.45" customHeight="1" thickBot="1" x14ac:dyDescent="0.25">
      <c r="B66" s="1115" t="s">
        <v>424</v>
      </c>
      <c r="C66" s="1168"/>
      <c r="D66" s="1168"/>
      <c r="E66" s="1168"/>
      <c r="F66" s="1168"/>
      <c r="G66" s="1168"/>
      <c r="H66" s="1168"/>
      <c r="I66" s="1168"/>
      <c r="J66" s="1168"/>
      <c r="K66" s="1168"/>
      <c r="L66" s="1168"/>
      <c r="M66" s="1169"/>
      <c r="N66" s="1015"/>
    </row>
    <row r="67" spans="2:14" x14ac:dyDescent="0.2">
      <c r="M67" s="1015"/>
    </row>
  </sheetData>
  <sheetProtection algorithmName="SHA-512" hashValue="yCysqzv74w5maInSU9KC2I9ZUD/EY2PNUjfcXiIXJ1hqyFx2YsjTWZwBBGOnFS0bPnAY9to6dnxUvzsdCSTggw==" saltValue="2krqtHiFde9pwPXfq2FdiA==" spinCount="100000" sheet="1"/>
  <customSheetViews>
    <customSheetView guid="{9119B1A0-FD79-4FE4-B78E-10E0AEB8080B}" showPageBreaks="1" showGridLines="0" fitToPage="1" printArea="1" view="pageLayout" topLeftCell="A53">
      <selection activeCell="B62" sqref="B62:I62"/>
      <pageMargins left="0.70866141732283472" right="0.70866141732283472" top="0.78740157480314965" bottom="0.78740157480314965" header="0.31496062992125984" footer="0.31496062992125984"/>
      <pageSetup paperSize="9" scale="79" orientation="portrait" r:id="rId1"/>
      <headerFooter>
        <oddHeader>&amp;C&amp;9Bewohnervertretung</oddHeader>
        <oddFooter>&amp;L&amp;8Version: 21.06.2022&amp;C&amp;8Verhandlungsunterlagen SGB XI (vereinfacht B1)&amp;R&amp;8PSK-Beschluss Nr. 3-2022 vom 21.06.2022</oddFooter>
      </headerFooter>
    </customSheetView>
  </customSheetViews>
  <mergeCells count="18">
    <mergeCell ref="B66:M66"/>
    <mergeCell ref="K63:M63"/>
    <mergeCell ref="K64:M64"/>
    <mergeCell ref="K62:M62"/>
    <mergeCell ref="B62:I62"/>
    <mergeCell ref="B8:M8"/>
    <mergeCell ref="F20:L20"/>
    <mergeCell ref="F24:L24"/>
    <mergeCell ref="B38:M56"/>
    <mergeCell ref="J59:L59"/>
    <mergeCell ref="F22:L22"/>
    <mergeCell ref="F26:L26"/>
    <mergeCell ref="A1:N1"/>
    <mergeCell ref="A2:N2"/>
    <mergeCell ref="A3:N3"/>
    <mergeCell ref="A4:N4"/>
    <mergeCell ref="B6:G6"/>
    <mergeCell ref="L6:M6"/>
  </mergeCells>
  <hyperlinks>
    <hyperlink ref="B66" location="'Anlage 1'!A1" display="Anlage 1" xr:uid="{A7A07D3B-2085-454B-92CD-5764EBD7CE87}"/>
    <hyperlink ref="B66:J66" location="B_PH_Bewohnervertretung!Druckbereich" display="gehe weiter zu B_PH_Bewohnervertretung" xr:uid="{F36A631D-B979-4B8A-A9D8-20A4D727FCFB}"/>
    <hyperlink ref="B66:M66" location="B_KZP_Ergebnis!A1" display="gehe weiter zu B_KZP_Ergebnis" xr:uid="{C7696CF0-7D6F-4955-8283-A565ACC64057}"/>
  </hyperlinks>
  <pageMargins left="0.70866141732283472" right="0.70866141732283472" top="0.78740157480314965" bottom="0.78740157480314965" header="0.31496062992125984" footer="0.31496062992125984"/>
  <pageSetup paperSize="9" scale="79" orientation="portrait"/>
  <headerFooter>
    <oddHeader>&amp;C&amp;9&amp;A</oddHeader>
    <oddFooter>&amp;L&amp;8Version: 19.10.2026&amp;C&amp;8Verhandlungsunterlagen SGB XI (vereinfacht B_KZP)&amp;R&amp;8PSK-Beschluss vom 08.10.2026</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9B99B-60B5-4470-8979-FF2AC09E60FA}">
  <dimension ref="A1:P75"/>
  <sheetViews>
    <sheetView showGridLines="0" zoomScaleNormal="100" workbookViewId="0">
      <selection activeCell="A4" sqref="A4"/>
    </sheetView>
  </sheetViews>
  <sheetFormatPr baseColWidth="10" defaultColWidth="11" defaultRowHeight="14.25" x14ac:dyDescent="0.2"/>
  <cols>
    <col min="1" max="1" width="3.875" style="3" customWidth="1"/>
    <col min="2" max="2" width="24.125" style="3" customWidth="1"/>
    <col min="3" max="3" width="13.625" style="3" customWidth="1"/>
    <col min="4" max="4" width="1.25" style="3" customWidth="1"/>
    <col min="5" max="5" width="2.375" style="3" customWidth="1"/>
    <col min="6" max="6" width="12.75" style="3" customWidth="1"/>
    <col min="7" max="7" width="2.25" style="3" customWidth="1"/>
    <col min="8" max="10" width="12.75" style="3" customWidth="1"/>
    <col min="11" max="11" width="3.25" style="3" customWidth="1"/>
    <col min="12" max="12" width="12.75" style="3" customWidth="1"/>
    <col min="13" max="13" width="2.25" style="3" customWidth="1"/>
    <col min="14" max="14" width="12.75" style="3" customWidth="1"/>
    <col min="15" max="15" width="4.75" style="3" customWidth="1"/>
    <col min="16" max="16384" width="11" style="3"/>
  </cols>
  <sheetData>
    <row r="1" spans="1:15" ht="26.25" customHeight="1" x14ac:dyDescent="0.2">
      <c r="A1" s="1235" t="str">
        <f>'B_KZP_Allgemeine Angaben'!A1:N1</f>
        <v>Vereinfachtes Verfahren der Aufforderung zum Abschluss einer Pflegesatzvereinbarung gemäß § 84, 85 SGB XI - Kurzzeitpflegeeinrichtungen</v>
      </c>
      <c r="B1" s="1236"/>
      <c r="C1" s="1236"/>
      <c r="D1" s="1236"/>
      <c r="E1" s="1236"/>
      <c r="F1" s="1236"/>
      <c r="G1" s="1236"/>
      <c r="H1" s="1236"/>
      <c r="I1" s="1236"/>
      <c r="J1" s="1236"/>
      <c r="K1" s="1236"/>
      <c r="L1" s="1236"/>
      <c r="M1" s="1236"/>
      <c r="N1" s="1236"/>
      <c r="O1" s="1237"/>
    </row>
    <row r="2" spans="1:15" ht="15" customHeight="1" x14ac:dyDescent="0.2">
      <c r="A2" s="1240" t="s">
        <v>282</v>
      </c>
      <c r="B2" s="1241"/>
      <c r="C2" s="1241"/>
      <c r="D2" s="1241"/>
      <c r="E2" s="1241"/>
      <c r="F2" s="1241"/>
      <c r="G2" s="1241"/>
      <c r="H2" s="1241"/>
      <c r="I2" s="1241"/>
      <c r="J2" s="1241"/>
      <c r="K2" s="1241"/>
      <c r="L2" s="1241"/>
      <c r="M2" s="562"/>
      <c r="N2" s="562"/>
      <c r="O2" s="572"/>
    </row>
    <row r="3" spans="1:15" ht="15" customHeight="1" x14ac:dyDescent="0.2">
      <c r="A3" s="319"/>
      <c r="B3" s="320"/>
      <c r="C3" s="320"/>
      <c r="D3" s="320"/>
      <c r="E3" s="320"/>
      <c r="F3" s="320"/>
      <c r="G3" s="320"/>
      <c r="H3" s="320"/>
      <c r="I3" s="320"/>
      <c r="J3" s="38"/>
      <c r="K3" s="38"/>
      <c r="L3" s="565" t="s">
        <v>177</v>
      </c>
      <c r="M3" s="565"/>
      <c r="N3" s="564">
        <f>'B_KZP_Allgemeine Angaben'!L4</f>
        <v>0</v>
      </c>
      <c r="O3" s="572"/>
    </row>
    <row r="4" spans="1:15" ht="9.6" customHeight="1" x14ac:dyDescent="0.2">
      <c r="A4" s="1027"/>
      <c r="B4" s="266"/>
      <c r="C4" s="266"/>
      <c r="D4" s="266"/>
      <c r="E4" s="266"/>
      <c r="F4" s="266"/>
      <c r="G4" s="266"/>
      <c r="H4" s="266"/>
      <c r="I4" s="266"/>
      <c r="J4" s="266"/>
      <c r="K4" s="266"/>
      <c r="L4" s="266"/>
      <c r="M4" s="266"/>
      <c r="N4" s="266"/>
      <c r="O4" s="4"/>
    </row>
    <row r="5" spans="1:15" x14ac:dyDescent="0.2">
      <c r="A5" s="265"/>
      <c r="B5" s="1242" t="s">
        <v>194</v>
      </c>
      <c r="C5" s="1242"/>
      <c r="D5" s="1242"/>
      <c r="E5" s="267"/>
      <c r="F5" s="563" t="s">
        <v>188</v>
      </c>
      <c r="G5" s="563"/>
      <c r="H5" s="563"/>
      <c r="I5" s="563"/>
      <c r="J5" s="563"/>
      <c r="K5" s="266"/>
      <c r="L5" s="266"/>
      <c r="M5" s="266"/>
      <c r="N5" s="266"/>
      <c r="O5" s="4"/>
    </row>
    <row r="6" spans="1:15" x14ac:dyDescent="0.2">
      <c r="A6" s="265"/>
      <c r="B6" s="1243" t="str">
        <f>IF('B_KZP_Allgemeine Angaben'!D12&lt;&gt;0,'B_KZP_Allgemeine Angaben'!D12,"")</f>
        <v/>
      </c>
      <c r="C6" s="1243"/>
      <c r="D6" s="1243"/>
      <c r="E6" s="267"/>
      <c r="F6" s="268" t="str">
        <f>IF('B_KZP_Allgemeine Angaben'!D26&lt;&gt;0,'B_KZP_Allgemeine Angaben'!D26,"")</f>
        <v/>
      </c>
      <c r="G6" s="268"/>
      <c r="H6" s="268"/>
      <c r="I6" s="268"/>
      <c r="J6" s="268"/>
      <c r="K6" s="266"/>
      <c r="L6" s="266"/>
      <c r="M6" s="266"/>
      <c r="N6" s="266"/>
      <c r="O6" s="4"/>
    </row>
    <row r="7" spans="1:15" x14ac:dyDescent="0.2">
      <c r="A7" s="265"/>
      <c r="B7" s="1243" t="str">
        <f>IF('B_KZP_Allgemeine Angaben'!D14&lt;&gt;0,'B_KZP_Allgemeine Angaben'!D14,"")</f>
        <v/>
      </c>
      <c r="C7" s="1243"/>
      <c r="D7" s="1243"/>
      <c r="E7" s="267"/>
      <c r="F7" s="268" t="str">
        <f>IF('B_KZP_Allgemeine Angaben'!D28&lt;&gt;0,'B_KZP_Allgemeine Angaben'!D28,"")</f>
        <v/>
      </c>
      <c r="G7" s="268"/>
      <c r="H7" s="268"/>
      <c r="I7" s="268"/>
      <c r="J7" s="268"/>
      <c r="K7" s="266"/>
      <c r="L7" s="266"/>
      <c r="M7" s="266"/>
      <c r="N7" s="266"/>
      <c r="O7" s="4"/>
    </row>
    <row r="8" spans="1:15" x14ac:dyDescent="0.2">
      <c r="A8" s="265"/>
      <c r="B8" s="1243" t="str">
        <f>IF('B_KZP_Allgemeine Angaben'!D16&lt;&gt;0,'B_KZP_Allgemeine Angaben'!D16&amp;" "&amp;'B_KZP_Allgemeine Angaben'!J16,"")</f>
        <v/>
      </c>
      <c r="C8" s="1243"/>
      <c r="D8" s="1243"/>
      <c r="E8" s="267"/>
      <c r="F8" s="268" t="str">
        <f>IF('B_KZP_Allgemeine Angaben'!D30&lt;&gt;0,'B_KZP_Allgemeine Angaben'!D30&amp;" "&amp;'B_KZP_Allgemeine Angaben'!J30,"")</f>
        <v/>
      </c>
      <c r="G8" s="268"/>
      <c r="H8" s="268"/>
      <c r="I8" s="268"/>
      <c r="J8" s="268"/>
      <c r="K8" s="266"/>
      <c r="L8" s="266"/>
      <c r="M8" s="266"/>
      <c r="N8" s="266"/>
      <c r="O8" s="4"/>
    </row>
    <row r="9" spans="1:15" s="266" customFormat="1" ht="14.25" customHeight="1" x14ac:dyDescent="0.2">
      <c r="A9" s="265"/>
      <c r="B9" s="267" t="str">
        <f>'B_KZP_Allgemeine Angaben'!K6</f>
        <v>Institutionskennzeichen (IK):</v>
      </c>
      <c r="C9" s="1239">
        <f>'B_KZP_Allgemeine Angaben'!L6</f>
        <v>0</v>
      </c>
      <c r="D9" s="1239"/>
      <c r="E9" s="267"/>
      <c r="G9" s="270"/>
      <c r="O9" s="272"/>
    </row>
    <row r="10" spans="1:15" ht="10.15" customHeight="1" x14ac:dyDescent="0.2">
      <c r="A10" s="265"/>
      <c r="E10" s="267"/>
      <c r="K10" s="266"/>
      <c r="L10" s="266"/>
      <c r="M10" s="266"/>
      <c r="N10" s="266"/>
      <c r="O10" s="4"/>
    </row>
    <row r="11" spans="1:15" x14ac:dyDescent="0.2">
      <c r="A11" s="265"/>
      <c r="B11" s="5" t="s">
        <v>389</v>
      </c>
      <c r="E11" s="567"/>
      <c r="F11" s="608" t="str">
        <f>IF('B_KZP_Allgemeine Angaben'!H51&gt;0,'B_KZP_Allgemeine Angaben'!H51,"")</f>
        <v/>
      </c>
      <c r="H11" s="568" t="s">
        <v>189</v>
      </c>
      <c r="I11" s="608">
        <f>IFERROR('B_KZP_Allgemeine Angaben'!K51,"")</f>
        <v>0</v>
      </c>
      <c r="J11" s="266"/>
      <c r="K11" s="266"/>
      <c r="L11" s="266"/>
      <c r="M11" s="266"/>
      <c r="N11" s="266"/>
      <c r="O11" s="4"/>
    </row>
    <row r="12" spans="1:15" ht="13.9" customHeight="1" x14ac:dyDescent="0.2">
      <c r="A12" s="265"/>
      <c r="B12" s="5"/>
      <c r="J12" s="266"/>
      <c r="K12" s="266"/>
      <c r="L12" s="266"/>
      <c r="M12" s="266"/>
      <c r="N12" s="266"/>
      <c r="O12" s="4"/>
    </row>
    <row r="13" spans="1:15" ht="13.9" customHeight="1" x14ac:dyDescent="0.2">
      <c r="A13" s="265"/>
      <c r="B13" s="5"/>
      <c r="F13" s="266"/>
      <c r="G13" s="597"/>
      <c r="I13" s="266"/>
      <c r="J13" s="266"/>
      <c r="M13" s="266"/>
      <c r="N13" s="266"/>
      <c r="O13" s="4"/>
    </row>
    <row r="14" spans="1:15" x14ac:dyDescent="0.2">
      <c r="A14" s="265"/>
      <c r="B14" s="582" t="s">
        <v>379</v>
      </c>
      <c r="E14" s="567"/>
      <c r="F14" s="266"/>
      <c r="G14" s="598"/>
      <c r="I14" s="266"/>
      <c r="J14" s="266"/>
      <c r="M14" s="266"/>
      <c r="N14" s="266"/>
      <c r="O14" s="4"/>
    </row>
    <row r="15" spans="1:15" ht="10.15" customHeight="1" x14ac:dyDescent="0.2">
      <c r="A15" s="265"/>
      <c r="B15" s="5"/>
      <c r="E15" s="567"/>
      <c r="F15" s="583"/>
      <c r="G15" s="266"/>
      <c r="H15" s="266"/>
      <c r="I15" s="266"/>
      <c r="J15" s="266"/>
      <c r="M15" s="266"/>
      <c r="N15" s="266"/>
      <c r="O15" s="4"/>
    </row>
    <row r="16" spans="1:15" x14ac:dyDescent="0.2">
      <c r="A16" s="265"/>
      <c r="B16" s="580" t="s">
        <v>52</v>
      </c>
      <c r="C16" s="581"/>
      <c r="E16" s="567"/>
      <c r="F16" s="584">
        <f>B_KZP_Kalkulation!H18</f>
        <v>0</v>
      </c>
      <c r="G16" s="266"/>
      <c r="H16" s="266"/>
      <c r="I16" s="266"/>
      <c r="J16" s="266"/>
      <c r="M16" s="266"/>
      <c r="N16" s="266"/>
      <c r="O16" s="4"/>
    </row>
    <row r="17" spans="1:16" x14ac:dyDescent="0.2">
      <c r="A17" s="265"/>
      <c r="B17" s="580" t="s">
        <v>53</v>
      </c>
      <c r="C17" s="581"/>
      <c r="E17" s="567"/>
      <c r="F17" s="584">
        <f>B_KZP_Kalkulation!I18</f>
        <v>0</v>
      </c>
      <c r="G17" s="266"/>
      <c r="H17" s="266"/>
      <c r="I17" s="266"/>
      <c r="J17" s="266"/>
      <c r="M17" s="266"/>
      <c r="N17" s="266"/>
      <c r="O17" s="4"/>
    </row>
    <row r="18" spans="1:16" x14ac:dyDescent="0.2">
      <c r="A18" s="265"/>
      <c r="B18" s="580" t="s">
        <v>54</v>
      </c>
      <c r="C18" s="581"/>
      <c r="E18" s="567"/>
      <c r="F18" s="584">
        <f>B_KZP_Kalkulation!J18</f>
        <v>0</v>
      </c>
      <c r="G18" s="266"/>
      <c r="H18" s="266"/>
      <c r="I18" s="266"/>
      <c r="J18" s="266"/>
      <c r="M18" s="266"/>
      <c r="N18" s="266"/>
      <c r="O18" s="4"/>
    </row>
    <row r="19" spans="1:16" x14ac:dyDescent="0.2">
      <c r="A19" s="265"/>
      <c r="B19" s="580" t="s">
        <v>55</v>
      </c>
      <c r="C19" s="581"/>
      <c r="E19" s="567"/>
      <c r="F19" s="584">
        <f>B_KZP_Kalkulation!K18</f>
        <v>0</v>
      </c>
      <c r="G19" s="266"/>
      <c r="H19" s="266"/>
      <c r="I19" s="266"/>
      <c r="J19" s="266"/>
      <c r="M19" s="266"/>
      <c r="N19" s="266"/>
      <c r="O19" s="4"/>
    </row>
    <row r="20" spans="1:16" x14ac:dyDescent="0.2">
      <c r="A20" s="265"/>
      <c r="B20" s="580" t="s">
        <v>56</v>
      </c>
      <c r="C20" s="581"/>
      <c r="E20" s="567"/>
      <c r="F20" s="584">
        <f>B_KZP_Kalkulation!L18</f>
        <v>0</v>
      </c>
      <c r="G20" s="266"/>
      <c r="H20" s="266"/>
      <c r="I20" s="266"/>
      <c r="J20" s="266"/>
      <c r="M20" s="266"/>
      <c r="N20" s="266"/>
      <c r="O20" s="4"/>
    </row>
    <row r="21" spans="1:16" ht="6" customHeight="1" x14ac:dyDescent="0.2">
      <c r="A21" s="265"/>
      <c r="B21" s="569"/>
      <c r="E21" s="567"/>
      <c r="F21" s="583"/>
      <c r="G21" s="266"/>
      <c r="H21" s="266"/>
      <c r="I21" s="266"/>
      <c r="J21" s="266"/>
      <c r="M21" s="266"/>
      <c r="N21" s="266"/>
      <c r="O21" s="4"/>
    </row>
    <row r="22" spans="1:16" x14ac:dyDescent="0.2">
      <c r="A22" s="265"/>
      <c r="B22" s="580" t="s">
        <v>362</v>
      </c>
      <c r="C22" s="581"/>
      <c r="E22" s="567"/>
      <c r="F22" s="584">
        <f>B_KZP_Kalkulation!L16</f>
        <v>0</v>
      </c>
      <c r="G22" s="266"/>
      <c r="H22" s="266"/>
      <c r="I22" s="266"/>
      <c r="J22" s="266"/>
      <c r="M22" s="266"/>
      <c r="N22" s="266"/>
      <c r="O22" s="4"/>
    </row>
    <row r="23" spans="1:16" x14ac:dyDescent="0.2">
      <c r="A23" s="265"/>
      <c r="B23" s="569"/>
      <c r="E23" s="567"/>
      <c r="F23" s="644"/>
      <c r="G23" s="266"/>
      <c r="H23" s="266"/>
      <c r="I23" s="266"/>
      <c r="J23" s="266"/>
      <c r="M23" s="266"/>
      <c r="N23" s="266"/>
      <c r="O23" s="4"/>
      <c r="P23" s="2"/>
    </row>
    <row r="24" spans="1:16" x14ac:dyDescent="0.2">
      <c r="A24" s="265"/>
      <c r="B24" s="5" t="s">
        <v>359</v>
      </c>
      <c r="E24" s="567"/>
      <c r="F24" s="644"/>
      <c r="G24" s="266"/>
      <c r="H24" s="266"/>
      <c r="I24" s="266"/>
      <c r="J24" s="266"/>
      <c r="M24" s="266"/>
      <c r="N24" s="266"/>
      <c r="O24" s="4"/>
      <c r="P24" s="2"/>
    </row>
    <row r="25" spans="1:16" ht="10.15" customHeight="1" x14ac:dyDescent="0.2">
      <c r="A25" s="265"/>
      <c r="H25" s="266"/>
      <c r="J25" s="266"/>
      <c r="K25" s="266"/>
      <c r="L25" s="266"/>
      <c r="M25" s="266"/>
      <c r="N25" s="266"/>
      <c r="O25" s="4"/>
      <c r="P25" s="2"/>
    </row>
    <row r="26" spans="1:16" ht="40.15" customHeight="1" x14ac:dyDescent="0.2">
      <c r="A26" s="265"/>
      <c r="F26" s="639" t="s">
        <v>360</v>
      </c>
      <c r="I26" s="797" t="s">
        <v>361</v>
      </c>
      <c r="J26" s="643" t="s">
        <v>386</v>
      </c>
      <c r="O26" s="4"/>
      <c r="P26" s="2"/>
    </row>
    <row r="27" spans="1:16" x14ac:dyDescent="0.2">
      <c r="A27" s="265"/>
      <c r="B27" s="573"/>
      <c r="E27" s="267"/>
      <c r="F27" s="269"/>
      <c r="G27" s="566"/>
      <c r="I27" s="798"/>
      <c r="K27" s="217"/>
      <c r="O27" s="4"/>
      <c r="P27" s="2"/>
    </row>
    <row r="28" spans="1:16" x14ac:dyDescent="0.2">
      <c r="A28" s="265"/>
      <c r="B28" s="569" t="s">
        <v>333</v>
      </c>
      <c r="E28" s="267"/>
      <c r="F28" s="585">
        <f>IF(B_KZP_Kalkulation!J22&gt;0,B_KZP_Kalkulation!J22,0)</f>
        <v>0</v>
      </c>
      <c r="G28" s="586"/>
      <c r="H28" s="478" t="s">
        <v>363</v>
      </c>
      <c r="I28" s="799" t="str">
        <f>B_KZP_Kalkulation!I22</f>
        <v/>
      </c>
      <c r="J28" s="638">
        <f>IF(B_KZP_Kalkulation!L22&gt;0,B_KZP_Kalkulation!L22,0)</f>
        <v>0</v>
      </c>
      <c r="K28" s="266"/>
      <c r="L28" s="340" t="str">
        <f>IF(AND(F28&gt;0,J28=0),"Bitte Angaben prüfen!","")</f>
        <v/>
      </c>
      <c r="M28" s="266"/>
      <c r="O28" s="4"/>
      <c r="P28" s="2"/>
    </row>
    <row r="29" spans="1:16" ht="10.15" customHeight="1" x14ac:dyDescent="0.2">
      <c r="A29" s="265"/>
      <c r="E29" s="267"/>
      <c r="F29" s="269"/>
      <c r="G29" s="566"/>
      <c r="I29" s="800"/>
      <c r="K29" s="266"/>
      <c r="L29" s="266"/>
      <c r="M29" s="266"/>
      <c r="O29" s="4"/>
      <c r="P29" s="2"/>
    </row>
    <row r="30" spans="1:16" x14ac:dyDescent="0.2">
      <c r="A30" s="265"/>
      <c r="B30" s="636" t="s">
        <v>322</v>
      </c>
      <c r="E30" s="267"/>
      <c r="F30" s="587">
        <f>IF(B_KZP_Kalkulation!J23&gt;0,B_KZP_Kalkulation!J23,0)</f>
        <v>0</v>
      </c>
      <c r="G30" s="566"/>
      <c r="H30" s="478" t="s">
        <v>363</v>
      </c>
      <c r="I30" s="799" t="e">
        <f>B_KZP_Kalkulation!I23</f>
        <v>#DIV/0!</v>
      </c>
      <c r="J30" s="638">
        <f>IF(B_KZP_Kalkulation!L23&gt;0,B_KZP_Kalkulation!L23,0)</f>
        <v>0</v>
      </c>
      <c r="K30" s="266"/>
      <c r="L30" s="599" t="str">
        <f>IF(AND(F30&gt;0,J30=0),"Bitte Angaben prüfen!","")</f>
        <v/>
      </c>
      <c r="M30" s="266"/>
      <c r="O30" s="4"/>
    </row>
    <row r="31" spans="1:16" ht="10.15" customHeight="1" x14ac:dyDescent="0.2">
      <c r="A31" s="265"/>
      <c r="B31" s="569"/>
      <c r="C31" s="569"/>
      <c r="D31" s="569"/>
      <c r="E31" s="267"/>
      <c r="F31" s="269"/>
      <c r="G31" s="566"/>
      <c r="I31" s="800"/>
      <c r="K31" s="266"/>
      <c r="M31" s="266"/>
      <c r="O31" s="4"/>
    </row>
    <row r="32" spans="1:16" s="579" customFormat="1" ht="25.9" customHeight="1" x14ac:dyDescent="0.2">
      <c r="A32" s="575"/>
      <c r="B32" s="1244" t="s">
        <v>385</v>
      </c>
      <c r="C32" s="1244"/>
      <c r="D32" s="1244"/>
      <c r="E32" s="576"/>
      <c r="F32" s="585">
        <f>IF(B_KZP_Kalkulation!J25&gt;0,B_KZP_Kalkulation!J25,0)</f>
        <v>0</v>
      </c>
      <c r="G32" s="576"/>
      <c r="H32" s="478" t="s">
        <v>363</v>
      </c>
      <c r="I32" s="799">
        <f>B_KZP_Kalkulation!I25</f>
        <v>20</v>
      </c>
      <c r="J32" s="638">
        <f>IF(B_KZP_Kalkulation!L25&gt;0,B_KZP_Kalkulation!L25,0)</f>
        <v>0</v>
      </c>
      <c r="L32" s="604" t="str">
        <f>IF(AND(F32&gt;0,J32=0),"Angaben prüfen!","")</f>
        <v/>
      </c>
      <c r="M32" s="577"/>
      <c r="O32" s="578"/>
    </row>
    <row r="33" spans="1:15" ht="10.15" customHeight="1" x14ac:dyDescent="0.2">
      <c r="A33" s="265"/>
      <c r="B33" s="595"/>
      <c r="C33" s="595"/>
      <c r="D33" s="595"/>
      <c r="E33" s="267"/>
      <c r="F33" s="589"/>
      <c r="G33" s="566"/>
      <c r="H33" s="266"/>
      <c r="I33" s="800"/>
      <c r="L33" s="577"/>
      <c r="M33" s="266"/>
      <c r="O33" s="4"/>
    </row>
    <row r="34" spans="1:15" x14ac:dyDescent="0.2">
      <c r="A34" s="265"/>
      <c r="B34" s="640" t="s">
        <v>425</v>
      </c>
      <c r="C34" s="595"/>
      <c r="D34" s="595"/>
      <c r="E34" s="267"/>
      <c r="F34" s="585">
        <f>IF(B_KZP_Kalkulation!J26&gt;0,B_KZP_Kalkulation!J26,0)</f>
        <v>0</v>
      </c>
      <c r="G34" s="566"/>
      <c r="H34" s="478" t="s">
        <v>363</v>
      </c>
      <c r="I34" s="799">
        <f>B_KZP_Kalkulation!I26</f>
        <v>0</v>
      </c>
      <c r="J34" s="638">
        <f>IF(B_KZP_Kalkulation!L26&gt;0,B_KZP_Kalkulation!L26,0)</f>
        <v>0</v>
      </c>
      <c r="L34" s="604" t="str">
        <f>IF(AND(F34&gt;0,J34=0),"Angaben prüfen!","")</f>
        <v/>
      </c>
      <c r="M34" s="266"/>
      <c r="O34" s="4"/>
    </row>
    <row r="35" spans="1:15" ht="10.15" customHeight="1" x14ac:dyDescent="0.2">
      <c r="A35" s="265"/>
      <c r="B35" s="595"/>
      <c r="C35" s="595"/>
      <c r="D35" s="595"/>
      <c r="E35" s="267"/>
      <c r="F35" s="589"/>
      <c r="G35" s="566"/>
      <c r="H35" s="266"/>
      <c r="I35" s="800"/>
      <c r="L35" s="579"/>
      <c r="M35" s="266"/>
      <c r="O35" s="4"/>
    </row>
    <row r="36" spans="1:15" x14ac:dyDescent="0.2">
      <c r="A36" s="265"/>
      <c r="B36" s="636" t="s">
        <v>411</v>
      </c>
      <c r="C36" s="595"/>
      <c r="D36" s="595"/>
      <c r="E36" s="267"/>
      <c r="F36" s="585">
        <f>IF(B_KZP_Kalkulation!J27&gt;0,B_KZP_Kalkulation!J27,0)</f>
        <v>0</v>
      </c>
      <c r="G36" s="566"/>
      <c r="H36" s="478" t="s">
        <v>363</v>
      </c>
      <c r="I36" s="799">
        <f>B_KZP_Kalkulation!I27</f>
        <v>0</v>
      </c>
      <c r="J36" s="638">
        <f>IF(B_KZP_Kalkulation!L27&gt;0,B_KZP_Kalkulation!L27,0)</f>
        <v>0</v>
      </c>
      <c r="L36" s="604" t="str">
        <f>IF(AND(F36&gt;0,J36=0),"Angaben prüfen!","")</f>
        <v/>
      </c>
      <c r="M36" s="266"/>
      <c r="O36" s="4"/>
    </row>
    <row r="37" spans="1:15" ht="10.15" customHeight="1" x14ac:dyDescent="0.2">
      <c r="A37" s="265"/>
      <c r="B37" s="595"/>
      <c r="C37" s="595"/>
      <c r="D37" s="595"/>
      <c r="E37" s="267"/>
      <c r="F37" s="589"/>
      <c r="G37" s="566"/>
      <c r="K37" s="579"/>
      <c r="L37" s="266"/>
      <c r="M37" s="266"/>
      <c r="O37" s="4"/>
    </row>
    <row r="38" spans="1:15" x14ac:dyDescent="0.2">
      <c r="A38" s="265"/>
      <c r="E38" s="267"/>
      <c r="F38" s="589" t="s">
        <v>365</v>
      </c>
      <c r="G38" s="566"/>
      <c r="J38" s="617" t="s">
        <v>366</v>
      </c>
      <c r="K38" s="577"/>
      <c r="L38" s="266"/>
      <c r="M38" s="266"/>
      <c r="O38" s="4"/>
    </row>
    <row r="39" spans="1:15" x14ac:dyDescent="0.2">
      <c r="A39" s="265"/>
      <c r="B39" s="569" t="s">
        <v>364</v>
      </c>
      <c r="E39" s="267"/>
      <c r="F39" s="588">
        <f>IF(B_KZP_Kalkulation!J30&gt;0,B_KZP_Kalkulation!J30,0)</f>
        <v>0</v>
      </c>
      <c r="G39" s="566"/>
      <c r="J39" s="638">
        <f>IF(B_KZP_Kalkulation!L30&gt;0,B_KZP_Kalkulation!L30,0)</f>
        <v>0</v>
      </c>
      <c r="L39" s="604" t="str">
        <f>IF(AND(F39&gt;0,J39=0),"Angaben prüfen!","")</f>
        <v/>
      </c>
      <c r="M39" s="266"/>
      <c r="O39" s="4"/>
    </row>
    <row r="40" spans="1:15" ht="10.15" customHeight="1" x14ac:dyDescent="0.2">
      <c r="A40" s="265"/>
      <c r="E40" s="267"/>
      <c r="F40" s="269"/>
      <c r="G40" s="566"/>
      <c r="H40" s="267"/>
      <c r="I40" s="267"/>
      <c r="J40" s="266"/>
      <c r="K40" s="266"/>
      <c r="L40" s="266"/>
      <c r="M40" s="266"/>
      <c r="N40" s="266"/>
      <c r="O40" s="4"/>
    </row>
    <row r="41" spans="1:15" x14ac:dyDescent="0.2">
      <c r="A41" s="265"/>
      <c r="B41" s="5" t="s">
        <v>388</v>
      </c>
      <c r="E41" s="267"/>
      <c r="F41" s="269"/>
      <c r="G41" s="566"/>
      <c r="H41" s="267"/>
      <c r="I41" s="271" t="s">
        <v>387</v>
      </c>
      <c r="J41" s="266"/>
      <c r="K41" s="266"/>
      <c r="L41" s="266"/>
      <c r="M41" s="266"/>
      <c r="N41" s="266"/>
      <c r="O41" s="4"/>
    </row>
    <row r="42" spans="1:15" ht="10.15" customHeight="1" x14ac:dyDescent="0.2">
      <c r="A42" s="265"/>
      <c r="E42" s="267"/>
      <c r="F42" s="269"/>
      <c r="G42" s="566"/>
      <c r="H42" s="267"/>
      <c r="I42" s="267"/>
      <c r="J42" s="266"/>
      <c r="K42" s="266"/>
      <c r="L42" s="266"/>
      <c r="M42" s="266"/>
      <c r="N42" s="266"/>
      <c r="O42" s="4"/>
    </row>
    <row r="43" spans="1:15" x14ac:dyDescent="0.2">
      <c r="A43" s="265"/>
      <c r="B43" s="569" t="s">
        <v>367</v>
      </c>
      <c r="E43" s="267"/>
      <c r="F43" s="571">
        <f>B_KZP_Gesamtkalkulation!D22</f>
        <v>0</v>
      </c>
      <c r="G43" s="566"/>
      <c r="H43" s="267"/>
      <c r="I43" s="570" t="s">
        <v>370</v>
      </c>
      <c r="J43" s="266"/>
      <c r="K43" s="266"/>
      <c r="L43" s="596">
        <f>B_KZP_Gesamtkalkulation!D34</f>
        <v>0</v>
      </c>
      <c r="M43" s="486"/>
      <c r="N43" s="266"/>
      <c r="O43" s="4"/>
    </row>
    <row r="44" spans="1:15" x14ac:dyDescent="0.2">
      <c r="A44" s="265"/>
      <c r="B44" s="569" t="s">
        <v>368</v>
      </c>
      <c r="E44" s="267"/>
      <c r="F44" s="571">
        <f>B_KZP_Gesamtkalkulation!D23</f>
        <v>0</v>
      </c>
      <c r="G44" s="566"/>
      <c r="H44" s="267"/>
      <c r="I44" s="570" t="s">
        <v>371</v>
      </c>
      <c r="J44" s="266"/>
      <c r="K44" s="266"/>
      <c r="L44" s="596">
        <f>B_KZP_Gesamtkalkulation!D35</f>
        <v>0</v>
      </c>
      <c r="M44" s="486"/>
      <c r="N44" s="266"/>
      <c r="O44" s="4"/>
    </row>
    <row r="45" spans="1:15" x14ac:dyDescent="0.2">
      <c r="A45" s="265"/>
      <c r="B45" s="569" t="s">
        <v>369</v>
      </c>
      <c r="E45" s="267"/>
      <c r="F45" s="571">
        <f>B_KZP_Gesamtkalkulation!D24</f>
        <v>0</v>
      </c>
      <c r="G45" s="566"/>
      <c r="H45" s="267"/>
      <c r="I45" s="570" t="s">
        <v>372</v>
      </c>
      <c r="J45" s="266"/>
      <c r="K45" s="266"/>
      <c r="L45" s="596">
        <f>B_KZP_Gesamtkalkulation!D36</f>
        <v>0</v>
      </c>
      <c r="M45" s="486"/>
      <c r="N45" s="266"/>
      <c r="O45" s="4"/>
    </row>
    <row r="46" spans="1:15" x14ac:dyDescent="0.2">
      <c r="A46" s="265"/>
      <c r="B46" s="640" t="s">
        <v>417</v>
      </c>
      <c r="E46" s="267"/>
      <c r="F46" s="571">
        <f>B_KZP_Gesamtkalkulation!D25</f>
        <v>0</v>
      </c>
      <c r="G46" s="566"/>
      <c r="H46" s="267"/>
      <c r="I46" s="570" t="s">
        <v>373</v>
      </c>
      <c r="J46" s="266"/>
      <c r="K46" s="266"/>
      <c r="L46" s="596">
        <f>B_KZP_Gesamtkalkulation!D37</f>
        <v>0</v>
      </c>
      <c r="M46" s="486"/>
      <c r="N46" s="266"/>
      <c r="O46" s="4"/>
    </row>
    <row r="47" spans="1:15" x14ac:dyDescent="0.2">
      <c r="A47" s="265"/>
      <c r="B47" s="640" t="s">
        <v>418</v>
      </c>
      <c r="E47" s="267"/>
      <c r="F47" s="571">
        <f>B_KZP_Gesamtkalkulation!D26</f>
        <v>0</v>
      </c>
      <c r="G47" s="566"/>
      <c r="H47" s="267"/>
      <c r="I47" s="570" t="s">
        <v>374</v>
      </c>
      <c r="J47" s="266"/>
      <c r="K47" s="266"/>
      <c r="L47" s="596">
        <f>B_KZP_Gesamtkalkulation!D38</f>
        <v>0</v>
      </c>
      <c r="M47" s="486"/>
      <c r="N47" s="266"/>
      <c r="O47" s="4"/>
    </row>
    <row r="48" spans="1:15" x14ac:dyDescent="0.2">
      <c r="A48" s="265"/>
      <c r="B48" s="640" t="s">
        <v>412</v>
      </c>
      <c r="E48" s="267"/>
      <c r="F48" s="571">
        <f>B_KZP_Gesamtkalkulation!D27</f>
        <v>0</v>
      </c>
      <c r="G48" s="566"/>
      <c r="H48" s="267"/>
      <c r="I48" s="570" t="str">
        <f>"3.6. "&amp;IF(B_KZP_Kalkulation!C52&lt;&gt;"",B_KZP_Kalkulation!C52,"")</f>
        <v xml:space="preserve">3.6. </v>
      </c>
      <c r="J48" s="266"/>
      <c r="K48" s="266"/>
      <c r="L48" s="596">
        <f>B_KZP_Gesamtkalkulation!D39</f>
        <v>0</v>
      </c>
      <c r="M48" s="486"/>
      <c r="N48" s="266"/>
      <c r="O48" s="4"/>
    </row>
    <row r="49" spans="1:16" x14ac:dyDescent="0.2">
      <c r="A49" s="265"/>
      <c r="B49" s="640" t="s">
        <v>413</v>
      </c>
      <c r="E49" s="267"/>
      <c r="F49" s="571">
        <f>B_KZP_Gesamtkalkulation!D28</f>
        <v>0</v>
      </c>
      <c r="G49" s="566"/>
      <c r="H49" s="267"/>
      <c r="I49" s="570" t="str">
        <f>"3.7. "&amp;IF(B_KZP_Kalkulation!C53&lt;&gt;"",B_KZP_Kalkulation!C53,"")</f>
        <v xml:space="preserve">3.7. </v>
      </c>
      <c r="J49" s="266"/>
      <c r="K49" s="266"/>
      <c r="L49" s="596">
        <f>B_KZP_Gesamtkalkulation!D40</f>
        <v>0</v>
      </c>
      <c r="M49" s="266"/>
      <c r="N49" s="266"/>
      <c r="O49" s="4"/>
    </row>
    <row r="50" spans="1:16" x14ac:dyDescent="0.2">
      <c r="A50" s="265"/>
      <c r="B50" s="640" t="s">
        <v>414</v>
      </c>
      <c r="E50" s="267"/>
      <c r="F50" s="571">
        <f>B_KZP_Gesamtkalkulation!D29</f>
        <v>0</v>
      </c>
      <c r="G50" s="566"/>
      <c r="H50" s="267"/>
      <c r="I50" s="570"/>
      <c r="J50" s="266"/>
      <c r="K50" s="266"/>
      <c r="L50" s="637"/>
      <c r="M50" s="266"/>
      <c r="N50" s="266"/>
      <c r="O50" s="4"/>
    </row>
    <row r="51" spans="1:16" x14ac:dyDescent="0.2">
      <c r="A51" s="265"/>
      <c r="B51" s="640" t="s">
        <v>415</v>
      </c>
      <c r="E51" s="267"/>
      <c r="F51" s="571">
        <f>B_KZP_Gesamtkalkulation!D30</f>
        <v>0</v>
      </c>
      <c r="G51" s="566"/>
      <c r="H51" s="267"/>
      <c r="I51" s="570"/>
      <c r="J51" s="266"/>
      <c r="K51" s="266"/>
      <c r="L51" s="637"/>
      <c r="M51" s="266"/>
      <c r="N51" s="266"/>
      <c r="O51" s="4"/>
    </row>
    <row r="52" spans="1:16" x14ac:dyDescent="0.2">
      <c r="A52" s="265"/>
      <c r="B52" s="640" t="s">
        <v>416</v>
      </c>
      <c r="E52" s="267"/>
      <c r="F52" s="571">
        <f>B_KZP_Gesamtkalkulation!D31</f>
        <v>0</v>
      </c>
      <c r="G52" s="566"/>
      <c r="H52" s="267"/>
      <c r="I52" s="267"/>
      <c r="J52" s="266"/>
      <c r="K52" s="266"/>
      <c r="L52" s="266"/>
      <c r="M52" s="266"/>
      <c r="N52" s="266"/>
      <c r="O52" s="4"/>
      <c r="P52" s="2"/>
    </row>
    <row r="53" spans="1:16" ht="4.9000000000000004" customHeight="1" x14ac:dyDescent="0.2">
      <c r="A53" s="265"/>
      <c r="B53" s="569"/>
      <c r="E53" s="267"/>
      <c r="F53" s="267"/>
      <c r="G53" s="267"/>
      <c r="H53" s="267"/>
      <c r="I53" s="267"/>
      <c r="J53" s="266"/>
      <c r="K53" s="266"/>
      <c r="L53" s="266"/>
      <c r="M53" s="266"/>
      <c r="N53" s="266"/>
      <c r="O53" s="4"/>
      <c r="P53" s="2"/>
    </row>
    <row r="54" spans="1:16" x14ac:dyDescent="0.2">
      <c r="A54" s="265"/>
      <c r="B54" s="569" t="s">
        <v>362</v>
      </c>
      <c r="E54" s="267"/>
      <c r="F54" s="571">
        <f>B_KZP_Gesamtkalkulation!D21</f>
        <v>0</v>
      </c>
      <c r="G54" s="566"/>
      <c r="H54" s="267"/>
      <c r="I54" s="570" t="s">
        <v>362</v>
      </c>
      <c r="J54" s="266"/>
      <c r="K54" s="266"/>
      <c r="L54" s="596">
        <f>B_KZP_Gesamtkalkulation!D33</f>
        <v>0</v>
      </c>
      <c r="M54" s="486"/>
      <c r="N54" s="266"/>
      <c r="O54" s="4"/>
      <c r="P54" s="2"/>
    </row>
    <row r="55" spans="1:16" ht="10.15" customHeight="1" x14ac:dyDescent="0.2">
      <c r="A55" s="265"/>
      <c r="E55" s="267"/>
      <c r="F55" s="269"/>
      <c r="G55" s="566"/>
      <c r="H55" s="267"/>
      <c r="I55" s="267"/>
      <c r="J55" s="266"/>
      <c r="K55" s="266"/>
      <c r="L55" s="266"/>
      <c r="M55" s="266"/>
      <c r="N55" s="266"/>
      <c r="O55" s="4"/>
      <c r="P55" s="2"/>
    </row>
    <row r="56" spans="1:16" x14ac:dyDescent="0.2">
      <c r="A56" s="265"/>
      <c r="B56" s="5" t="s">
        <v>420</v>
      </c>
      <c r="E56" s="267"/>
      <c r="F56" s="269"/>
      <c r="G56" s="566"/>
      <c r="H56" s="267"/>
      <c r="I56" s="267"/>
      <c r="J56" s="266"/>
      <c r="K56" s="266"/>
      <c r="L56" s="266"/>
      <c r="M56" s="266"/>
      <c r="N56" s="266"/>
      <c r="O56" s="4"/>
      <c r="P56" s="2"/>
    </row>
    <row r="57" spans="1:16" ht="10.15" customHeight="1" x14ac:dyDescent="0.2">
      <c r="A57" s="265"/>
      <c r="E57" s="267"/>
      <c r="F57" s="269"/>
      <c r="G57" s="566"/>
      <c r="H57" s="267"/>
      <c r="I57" s="267"/>
      <c r="J57" s="266"/>
      <c r="K57" s="266"/>
      <c r="L57" s="266"/>
      <c r="M57" s="266"/>
      <c r="N57" s="266"/>
      <c r="O57" s="4"/>
      <c r="P57" s="2"/>
    </row>
    <row r="58" spans="1:16" x14ac:dyDescent="0.2">
      <c r="A58" s="265"/>
      <c r="B58" s="573" t="s">
        <v>419</v>
      </c>
      <c r="E58" s="267"/>
      <c r="F58" s="574"/>
      <c r="G58" s="566"/>
      <c r="H58" s="267"/>
      <c r="I58" s="84"/>
      <c r="J58" s="266"/>
      <c r="K58" s="266"/>
      <c r="M58" s="266"/>
      <c r="N58" s="266"/>
      <c r="O58" s="4"/>
      <c r="P58" s="2"/>
    </row>
    <row r="59" spans="1:16" ht="10.15" customHeight="1" x14ac:dyDescent="0.2">
      <c r="A59" s="265"/>
      <c r="E59" s="267"/>
      <c r="F59" s="269"/>
      <c r="G59" s="566"/>
      <c r="H59" s="267"/>
      <c r="I59" s="267"/>
      <c r="J59" s="266"/>
      <c r="K59" s="266"/>
      <c r="M59" s="266"/>
      <c r="N59" s="266"/>
      <c r="O59" s="4"/>
      <c r="P59" s="2"/>
    </row>
    <row r="60" spans="1:16" x14ac:dyDescent="0.2">
      <c r="A60" s="265"/>
      <c r="B60" s="1247" t="s">
        <v>390</v>
      </c>
      <c r="C60" s="1248"/>
      <c r="E60" s="267"/>
      <c r="F60" s="590" t="str">
        <f>IFERROR(B_KZP_Gesamtkalkulation!H46,"")</f>
        <v/>
      </c>
      <c r="G60" s="566"/>
      <c r="H60" s="570" t="s">
        <v>375</v>
      </c>
      <c r="I60" s="1245"/>
      <c r="J60" s="1246"/>
      <c r="K60" s="266"/>
      <c r="L60" s="642"/>
      <c r="M60" s="266"/>
      <c r="N60" s="641"/>
      <c r="O60" s="1051"/>
      <c r="P60" s="2"/>
    </row>
    <row r="61" spans="1:16" ht="10.15" customHeight="1" x14ac:dyDescent="0.2">
      <c r="A61" s="273"/>
      <c r="J61" s="266"/>
      <c r="K61" s="266"/>
      <c r="M61" s="266"/>
      <c r="N61" s="266"/>
      <c r="O61" s="4"/>
      <c r="P61" s="2"/>
    </row>
    <row r="62" spans="1:16" x14ac:dyDescent="0.2">
      <c r="A62" s="273"/>
      <c r="B62" s="573" t="s">
        <v>381</v>
      </c>
      <c r="F62" s="590" t="str">
        <f>IFERROR(B_KZP_Gesamtkalkulation!K46,"")</f>
        <v/>
      </c>
      <c r="G62" s="566"/>
      <c r="H62" s="570" t="s">
        <v>375</v>
      </c>
      <c r="I62" s="573"/>
      <c r="J62" s="266"/>
      <c r="K62" s="266"/>
      <c r="L62" s="642"/>
      <c r="M62" s="566"/>
      <c r="N62" s="570"/>
      <c r="O62" s="4"/>
      <c r="P62" s="2"/>
    </row>
    <row r="63" spans="1:16" ht="10.15" customHeight="1" x14ac:dyDescent="0.2">
      <c r="A63" s="273"/>
      <c r="J63" s="266"/>
      <c r="K63" s="266"/>
      <c r="M63" s="266"/>
      <c r="N63" s="266"/>
      <c r="O63" s="4"/>
      <c r="P63" s="2"/>
    </row>
    <row r="64" spans="1:16" x14ac:dyDescent="0.2">
      <c r="A64" s="273"/>
      <c r="B64" s="573" t="s">
        <v>376</v>
      </c>
      <c r="F64" s="574"/>
      <c r="G64" s="566"/>
      <c r="H64" s="267"/>
      <c r="I64" s="84"/>
      <c r="J64" s="266"/>
      <c r="K64" s="266"/>
      <c r="M64" s="266"/>
      <c r="N64" s="266"/>
      <c r="O64" s="4"/>
      <c r="P64" s="2"/>
    </row>
    <row r="65" spans="1:16" ht="10.15" customHeight="1" x14ac:dyDescent="0.2">
      <c r="A65" s="273"/>
      <c r="J65" s="266"/>
      <c r="K65" s="266"/>
      <c r="M65" s="266"/>
      <c r="N65" s="266"/>
      <c r="O65" s="4"/>
      <c r="P65" s="2"/>
    </row>
    <row r="66" spans="1:16" x14ac:dyDescent="0.2">
      <c r="A66" s="273"/>
      <c r="B66" s="580" t="s">
        <v>377</v>
      </c>
      <c r="C66" s="581"/>
      <c r="F66" s="590" t="str">
        <f>IFERROR(B_KZP_Gesamtkalkulation!I46,"")</f>
        <v/>
      </c>
      <c r="G66" s="566"/>
      <c r="H66" s="570" t="s">
        <v>375</v>
      </c>
      <c r="I66" s="569"/>
      <c r="J66" s="266"/>
      <c r="K66" s="266"/>
      <c r="L66" s="642"/>
      <c r="M66" s="266"/>
      <c r="N66" s="641"/>
      <c r="O66" s="4"/>
      <c r="P66" s="2"/>
    </row>
    <row r="67" spans="1:16" ht="10.15" customHeight="1" x14ac:dyDescent="0.2">
      <c r="A67" s="273"/>
      <c r="J67" s="266"/>
      <c r="K67" s="266"/>
      <c r="M67" s="266"/>
      <c r="N67" s="266"/>
      <c r="O67" s="4"/>
      <c r="P67" s="2"/>
    </row>
    <row r="68" spans="1:16" x14ac:dyDescent="0.2">
      <c r="A68" s="273"/>
      <c r="B68" s="580" t="s">
        <v>378</v>
      </c>
      <c r="C68" s="581"/>
      <c r="F68" s="590" t="str">
        <f>IFERROR(B_KZP_Gesamtkalkulation!J46,"")</f>
        <v/>
      </c>
      <c r="G68" s="566"/>
      <c r="H68" s="570" t="s">
        <v>375</v>
      </c>
      <c r="I68" s="569"/>
      <c r="J68" s="266"/>
      <c r="K68" s="266"/>
      <c r="L68" s="642"/>
      <c r="M68" s="266"/>
      <c r="N68" s="641"/>
      <c r="O68" s="4"/>
      <c r="P68" s="2"/>
    </row>
    <row r="69" spans="1:16" ht="10.15" customHeight="1" x14ac:dyDescent="0.2">
      <c r="A69" s="273"/>
      <c r="J69" s="266"/>
      <c r="K69" s="266"/>
      <c r="M69" s="266"/>
      <c r="N69" s="266"/>
      <c r="O69" s="4"/>
    </row>
    <row r="70" spans="1:16" ht="15" x14ac:dyDescent="0.2">
      <c r="A70" s="273"/>
      <c r="B70" s="1238"/>
      <c r="C70" s="1238"/>
      <c r="D70" s="1238"/>
      <c r="E70" s="1238"/>
      <c r="F70" s="1238"/>
      <c r="G70" s="1238"/>
      <c r="H70" s="1238"/>
      <c r="J70" s="266"/>
      <c r="K70" s="266"/>
      <c r="L70" s="266"/>
      <c r="M70" s="266"/>
      <c r="N70" s="266"/>
      <c r="O70" s="4"/>
    </row>
    <row r="71" spans="1:16" ht="14.25" customHeight="1" x14ac:dyDescent="0.2">
      <c r="A71" s="265"/>
      <c r="B71" s="612"/>
      <c r="C71" s="217"/>
      <c r="D71" s="217"/>
      <c r="E71" s="217"/>
      <c r="F71" s="217"/>
      <c r="H71" s="613"/>
      <c r="I71" s="594"/>
      <c r="J71" s="594"/>
      <c r="K71" s="594"/>
      <c r="L71" s="275"/>
      <c r="M71" s="275"/>
      <c r="N71" s="275"/>
      <c r="O71" s="4"/>
    </row>
    <row r="72" spans="1:16" x14ac:dyDescent="0.2">
      <c r="A72" s="265"/>
      <c r="B72" s="614"/>
      <c r="C72" s="614"/>
      <c r="D72" s="615"/>
      <c r="E72" s="615"/>
      <c r="F72" s="616"/>
      <c r="G72" s="616"/>
      <c r="H72" s="616"/>
      <c r="I72" s="276"/>
      <c r="J72" s="276"/>
      <c r="K72" s="276"/>
      <c r="L72" s="276"/>
      <c r="M72" s="276"/>
      <c r="N72" s="276"/>
      <c r="O72" s="4"/>
    </row>
    <row r="73" spans="1:16" x14ac:dyDescent="0.2">
      <c r="A73" s="265"/>
      <c r="B73" s="1020"/>
      <c r="C73" s="37"/>
      <c r="J73" s="1021"/>
      <c r="K73" s="1022"/>
      <c r="L73" s="1022"/>
      <c r="M73" s="1022"/>
      <c r="N73" s="1022"/>
      <c r="O73" s="4"/>
    </row>
    <row r="74" spans="1:16" x14ac:dyDescent="0.2">
      <c r="A74" s="265"/>
      <c r="B74" s="618" t="s">
        <v>467</v>
      </c>
      <c r="C74" s="569"/>
      <c r="D74" s="569"/>
      <c r="E74" s="569"/>
      <c r="F74" s="612"/>
      <c r="G74" s="569"/>
      <c r="H74" s="569"/>
      <c r="J74" s="570" t="s">
        <v>292</v>
      </c>
      <c r="K74" s="593"/>
      <c r="L74" s="593"/>
      <c r="M74" s="593"/>
      <c r="N74" s="274"/>
      <c r="O74" s="4"/>
    </row>
    <row r="75" spans="1:16" ht="15" x14ac:dyDescent="0.25">
      <c r="A75" s="35"/>
      <c r="B75" s="279"/>
      <c r="C75" s="278"/>
      <c r="D75" s="278"/>
      <c r="E75" s="278"/>
      <c r="F75" s="278"/>
      <c r="G75" s="278"/>
      <c r="H75" s="278"/>
      <c r="I75" s="278"/>
      <c r="J75" s="278"/>
      <c r="K75" s="278"/>
      <c r="L75" s="278"/>
      <c r="M75" s="278"/>
      <c r="N75" s="278"/>
      <c r="O75" s="210"/>
    </row>
  </sheetData>
  <sheetProtection algorithmName="SHA-512" hashValue="9/SNYvZB6rOKt5knDX8n8Z1I0l6IzSNN4MTYcmLZxhbxPm5K9oxt5FlPLDs6KSdbftrj8sGbnU69PDBLUDplyg==" saltValue="7n4pghMPhisDJgan8WxyGQ==" spinCount="100000" sheet="1" selectLockedCells="1"/>
  <mergeCells count="11">
    <mergeCell ref="A1:O1"/>
    <mergeCell ref="B70:H70"/>
    <mergeCell ref="C9:D9"/>
    <mergeCell ref="A2:L2"/>
    <mergeCell ref="B5:D5"/>
    <mergeCell ref="B6:D6"/>
    <mergeCell ref="B7:D7"/>
    <mergeCell ref="B8:D8"/>
    <mergeCell ref="B32:D32"/>
    <mergeCell ref="I60:J60"/>
    <mergeCell ref="B60:C60"/>
  </mergeCells>
  <pageMargins left="0.70866141732283472" right="0.70866141732283472" top="0.78740157480314965" bottom="0.78740157480314965" header="0.31496062992125984" footer="0.31496062992125984"/>
  <pageSetup paperSize="9" scale="50" orientation="portrait"/>
  <headerFooter>
    <oddHeader>&amp;C&amp;A</oddHeader>
    <oddFooter>&amp;LVersion: 19.10.2026&amp;CVerhandlungsunterlagen SGB XI (vereinfacht B_KZP)&amp;RPSK-Beschluss vom 08.10.2026</oddFooter>
  </headerFooter>
  <extLst>
    <ext xmlns:x14="http://schemas.microsoft.com/office/spreadsheetml/2009/9/main" uri="{78C0D931-6437-407d-A8EE-F0AAD7539E65}">
      <x14:conditionalFormattings>
        <x14:conditionalFormatting xmlns:xm="http://schemas.microsoft.com/office/excel/2006/main">
          <x14:cfRule type="expression" priority="1" id="{3E4D79F0-B928-439F-8CCC-CF30121BB4DF}">
            <xm:f>KAT!#REF!=3</xm:f>
            <x14:dxf>
              <font>
                <color theme="0"/>
              </font>
              <fill>
                <patternFill patternType="none">
                  <bgColor auto="1"/>
                </patternFill>
              </fill>
              <border>
                <left/>
                <right/>
                <top/>
                <bottom/>
                <vertical/>
                <horizontal/>
              </border>
            </x14:dxf>
          </x14:cfRule>
          <xm:sqref>B60:C60</xm:sqref>
        </x14:conditionalFormatting>
        <x14:conditionalFormatting xmlns:xm="http://schemas.microsoft.com/office/excel/2006/main">
          <x14:cfRule type="expression" priority="16" id="{EE78BD91-132F-4BAF-B0C3-98A8D2E976D6}">
            <xm:f>'B_KZP_Berechnung rüE'!$O$11=1</xm:f>
            <x14:dxf>
              <font>
                <color theme="0" tint="-4.9989318521683403E-2"/>
              </font>
              <fill>
                <patternFill>
                  <bgColor theme="0" tint="-0.14996795556505021"/>
                </patternFill>
              </fill>
            </x14:dxf>
          </x14:cfRule>
          <xm:sqref>B72:K72 B73:H73 J73:L73</xm:sqref>
        </x14:conditionalFormatting>
        <x14:conditionalFormatting xmlns:xm="http://schemas.microsoft.com/office/excel/2006/main">
          <x14:cfRule type="expression" priority="152" id="{0C12F5F8-799F-4E8C-A8D5-CC99B22DC256}">
            <xm:f>'B_KZP_Allgemeine Angaben'!#REF!=0</xm:f>
            <x14:dxf>
              <font>
                <color theme="0"/>
              </font>
              <fill>
                <patternFill>
                  <bgColor theme="0"/>
                </patternFill>
              </fill>
              <border>
                <left/>
                <right/>
                <top/>
                <bottom/>
                <vertical/>
                <horizontal/>
              </border>
            </x14:dxf>
          </x14:cfRule>
          <xm:sqref>F9:G9</xm:sqref>
        </x14:conditionalFormatting>
        <x14:conditionalFormatting xmlns:xm="http://schemas.microsoft.com/office/excel/2006/main">
          <x14:cfRule type="expression" priority="160" id="{124BC53A-D6F6-481D-80A0-02E8A2BB8F3A}">
            <xm:f>KAT!#REF!=3</xm:f>
            <x14:dxf>
              <font>
                <color theme="0"/>
              </font>
              <fill>
                <patternFill patternType="none">
                  <bgColor auto="1"/>
                </patternFill>
              </fill>
              <border>
                <left/>
                <right/>
                <top/>
                <bottom/>
                <vertical/>
                <horizontal/>
              </border>
            </x14:dxf>
          </x14:cfRule>
          <xm:sqref>I58:L58 I60:J60 L60 N60 I62:L62 N62 I64:K64 I66:J66 L66 N66 I68:J68 L68 N68</xm:sqref>
        </x14:conditionalFormatting>
        <x14:conditionalFormatting xmlns:xm="http://schemas.microsoft.com/office/excel/2006/main">
          <x14:cfRule type="expression" priority="2" id="{E46681C3-B4BF-465E-A8AD-B1F74A39020F}">
            <xm:f>KAT!$A$80="nein"</xm:f>
            <x14:dxf>
              <fill>
                <patternFill patternType="none">
                  <bgColor auto="1"/>
                </patternFill>
              </fill>
            </x14:dxf>
          </x14:cfRule>
          <xm:sqref>L28 L30 L32 L34 L36 L39</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9A0DDBB2-4805-49BA-92FF-77E8F743EF9A}">
          <x14:formula1>
            <xm:f>KAT!$H$2:$H$4</xm:f>
          </x14:formula1>
          <xm:sqref>B73</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BA7A1-F646-4E79-AE0B-C3C7717D97C5}">
  <sheetPr>
    <pageSetUpPr fitToPage="1"/>
  </sheetPr>
  <dimension ref="A1:AH52"/>
  <sheetViews>
    <sheetView showGridLines="0" zoomScaleNormal="100" workbookViewId="0">
      <selection activeCell="A5" sqref="A5"/>
    </sheetView>
  </sheetViews>
  <sheetFormatPr baseColWidth="10" defaultColWidth="11" defaultRowHeight="14.25" x14ac:dyDescent="0.2"/>
  <cols>
    <col min="1" max="1" width="2.125" style="3" customWidth="1"/>
    <col min="2" max="2" width="5.625" style="3" customWidth="1"/>
    <col min="3" max="3" width="43.625" style="3" customWidth="1"/>
    <col min="4" max="4" width="16.625" style="3" customWidth="1"/>
    <col min="5" max="6" width="11.625" style="3" hidden="1" customWidth="1"/>
    <col min="7" max="7" width="12.625" style="3" hidden="1" customWidth="1"/>
    <col min="8" max="12" width="13.625" style="3" customWidth="1"/>
    <col min="13" max="13" width="12.625" style="657" hidden="1" customWidth="1"/>
    <col min="14" max="15" width="12.625" style="658" hidden="1" customWidth="1"/>
    <col min="16" max="16" width="2.125" style="3" customWidth="1"/>
    <col min="17" max="16384" width="11" style="3"/>
  </cols>
  <sheetData>
    <row r="1" spans="1:18" ht="15" customHeight="1" x14ac:dyDescent="0.25">
      <c r="A1" s="1252" t="str">
        <f>'B_KZP_Allgemeine Angaben'!A1</f>
        <v>Vereinfachtes Verfahren der Aufforderung zum Abschluss einer Pflegesatzvereinbarung gemäß § 84, 85 SGB XI - Kurzzeitpflegeeinrichtungen</v>
      </c>
      <c r="B1" s="1253"/>
      <c r="C1" s="1253"/>
      <c r="D1" s="1253"/>
      <c r="E1" s="1253"/>
      <c r="F1" s="1253"/>
      <c r="G1" s="1253"/>
      <c r="H1" s="1253"/>
      <c r="I1" s="1254"/>
      <c r="J1" s="1254"/>
      <c r="K1" s="1254"/>
      <c r="L1" s="1254"/>
      <c r="M1" s="1254"/>
      <c r="N1" s="1254"/>
      <c r="O1" s="1255"/>
      <c r="P1" s="1256"/>
      <c r="Q1" s="218"/>
      <c r="R1" s="653"/>
    </row>
    <row r="2" spans="1:18" ht="15" customHeight="1" x14ac:dyDescent="0.25">
      <c r="A2" s="1127" t="s">
        <v>58</v>
      </c>
      <c r="B2" s="1128"/>
      <c r="C2" s="1128"/>
      <c r="D2" s="1128"/>
      <c r="E2" s="1128"/>
      <c r="F2" s="1128"/>
      <c r="G2" s="1128"/>
      <c r="H2" s="1128"/>
      <c r="I2" s="1257"/>
      <c r="J2" s="1257"/>
      <c r="K2" s="1257"/>
      <c r="L2" s="1257"/>
      <c r="M2" s="1257"/>
      <c r="N2" s="1257"/>
      <c r="O2" s="1066"/>
      <c r="P2" s="1258"/>
      <c r="Q2" s="211"/>
    </row>
    <row r="3" spans="1:18" ht="15" customHeight="1" x14ac:dyDescent="0.2">
      <c r="A3" s="1259" t="str">
        <f>'B_KZP_Allgemeine Angaben'!A3</f>
        <v/>
      </c>
      <c r="B3" s="1260"/>
      <c r="C3" s="1260"/>
      <c r="D3" s="1260"/>
      <c r="E3" s="1260"/>
      <c r="F3" s="1260"/>
      <c r="G3" s="1260"/>
      <c r="H3" s="1260"/>
      <c r="I3" s="1257"/>
      <c r="J3" s="1257"/>
      <c r="K3" s="1257"/>
      <c r="L3" s="1257"/>
      <c r="M3" s="1257"/>
      <c r="N3" s="1257"/>
      <c r="O3" s="1066"/>
      <c r="P3" s="1258"/>
      <c r="Q3" s="231"/>
    </row>
    <row r="4" spans="1:18" ht="15" customHeight="1" x14ac:dyDescent="0.2">
      <c r="A4" s="1259"/>
      <c r="B4" s="1260"/>
      <c r="C4" s="1260"/>
      <c r="D4" s="1260"/>
      <c r="E4" s="1260"/>
      <c r="F4" s="1260"/>
      <c r="G4" s="1260"/>
      <c r="H4" s="1260"/>
      <c r="I4" s="1257"/>
      <c r="J4" s="1257"/>
      <c r="K4" s="1257"/>
      <c r="L4" s="1257"/>
      <c r="M4" s="1257"/>
      <c r="N4" s="1257"/>
      <c r="O4" s="1066"/>
      <c r="P4" s="1258"/>
      <c r="Q4" s="263"/>
    </row>
    <row r="5" spans="1:18" ht="14.25" customHeight="1" x14ac:dyDescent="0.2">
      <c r="A5" s="654"/>
      <c r="B5" s="232"/>
      <c r="C5" s="233"/>
      <c r="D5" s="233"/>
      <c r="E5" s="655" t="s">
        <v>59</v>
      </c>
      <c r="F5" s="255"/>
      <c r="I5" s="656" t="s">
        <v>92</v>
      </c>
      <c r="J5" s="656" t="s">
        <v>93</v>
      </c>
      <c r="K5" s="656" t="s">
        <v>426</v>
      </c>
      <c r="L5" s="656" t="s">
        <v>62</v>
      </c>
      <c r="P5" s="4"/>
      <c r="Q5" s="231"/>
    </row>
    <row r="6" spans="1:18" ht="18" customHeight="1" x14ac:dyDescent="0.2">
      <c r="A6" s="2"/>
      <c r="C6" s="235" t="s">
        <v>60</v>
      </c>
      <c r="D6" s="659">
        <f>IF('B_KZP_Allgemeine Angaben'!L47&gt;0,'B_KZP_Allgemeine Angaben'!L47,0)</f>
        <v>0</v>
      </c>
      <c r="E6" s="660" t="s">
        <v>61</v>
      </c>
      <c r="F6" s="660"/>
      <c r="G6" s="661"/>
      <c r="H6" s="34"/>
      <c r="I6" s="662">
        <f>B_KZP_Kalkulation!I7</f>
        <v>365</v>
      </c>
      <c r="J6" s="663" t="str">
        <f>IF(B_KZP_Kalkulation!D7&gt;0,B_KZP_Kalkulation!D7,"")</f>
        <v/>
      </c>
      <c r="K6" s="664" t="str">
        <f>IFERROR(I6*J6*'B_KZP_Allgemeine Angaben'!L47/100,"")</f>
        <v/>
      </c>
      <c r="L6" s="664">
        <f>IFERROR(ROUND(I6/12,2),"")</f>
        <v>30.42</v>
      </c>
      <c r="M6" s="665"/>
      <c r="N6" s="666"/>
      <c r="O6" s="667"/>
      <c r="P6" s="4"/>
    </row>
    <row r="7" spans="1:18" ht="18" customHeight="1" x14ac:dyDescent="0.2">
      <c r="A7" s="2"/>
      <c r="C7" s="235"/>
      <c r="D7" s="235"/>
      <c r="E7" s="668"/>
      <c r="F7" s="236"/>
      <c r="G7" s="234"/>
      <c r="I7" s="235"/>
      <c r="J7" s="235"/>
      <c r="K7" s="235"/>
      <c r="M7" s="669"/>
      <c r="N7" s="669"/>
      <c r="O7" s="670"/>
      <c r="P7" s="4"/>
    </row>
    <row r="8" spans="1:18" ht="18" customHeight="1" x14ac:dyDescent="0.2">
      <c r="A8" s="2"/>
      <c r="C8" s="37"/>
      <c r="D8" s="235"/>
      <c r="E8" s="671" t="s">
        <v>63</v>
      </c>
      <c r="F8" s="671"/>
      <c r="G8" s="234"/>
      <c r="I8" s="672" t="s">
        <v>103</v>
      </c>
      <c r="J8" s="663">
        <v>100</v>
      </c>
      <c r="K8" s="664">
        <f>IFERROR('B_KZP_Allgemeine Angaben'!L47*I6*J8/100,"")</f>
        <v>0</v>
      </c>
      <c r="M8" s="665"/>
      <c r="N8" s="666"/>
      <c r="O8" s="667"/>
      <c r="P8" s="4"/>
      <c r="Q8" s="217"/>
    </row>
    <row r="9" spans="1:18" ht="9.9499999999999993" customHeight="1" x14ac:dyDescent="0.2">
      <c r="A9" s="2"/>
      <c r="C9" s="37"/>
      <c r="D9" s="235"/>
      <c r="E9" s="234"/>
      <c r="F9" s="234"/>
      <c r="G9" s="234"/>
      <c r="I9" s="235"/>
      <c r="J9" s="235"/>
      <c r="K9" s="673"/>
      <c r="O9" s="670"/>
      <c r="P9" s="4"/>
    </row>
    <row r="10" spans="1:18" ht="9.9499999999999993" customHeight="1" x14ac:dyDescent="0.2">
      <c r="A10" s="2"/>
      <c r="E10" s="234"/>
      <c r="F10" s="237"/>
      <c r="G10" s="238"/>
      <c r="P10" s="4"/>
    </row>
    <row r="11" spans="1:18" ht="55.5" customHeight="1" x14ac:dyDescent="0.2">
      <c r="A11" s="2"/>
      <c r="C11" s="217"/>
      <c r="D11" s="239"/>
      <c r="E11" s="240"/>
      <c r="F11" s="240"/>
      <c r="G11" s="674" t="s">
        <v>427</v>
      </c>
      <c r="H11" s="675" t="s">
        <v>428</v>
      </c>
      <c r="I11" s="676" t="s">
        <v>106</v>
      </c>
      <c r="J11" s="675" t="s">
        <v>107</v>
      </c>
      <c r="K11" s="675" t="s">
        <v>429</v>
      </c>
      <c r="M11" s="677" t="s">
        <v>64</v>
      </c>
      <c r="N11" s="677" t="s">
        <v>65</v>
      </c>
      <c r="O11" s="677" t="s">
        <v>430</v>
      </c>
      <c r="P11" s="4"/>
    </row>
    <row r="12" spans="1:18" x14ac:dyDescent="0.2">
      <c r="A12" s="2"/>
      <c r="B12" s="241"/>
      <c r="C12" s="241"/>
      <c r="D12" s="678" t="s">
        <v>66</v>
      </c>
      <c r="E12" s="679" t="s">
        <v>67</v>
      </c>
      <c r="F12" s="242" t="s">
        <v>102</v>
      </c>
      <c r="G12" s="680" t="s">
        <v>68</v>
      </c>
      <c r="H12" s="681" t="s">
        <v>291</v>
      </c>
      <c r="I12" s="682" t="s">
        <v>291</v>
      </c>
      <c r="J12" s="683" t="s">
        <v>291</v>
      </c>
      <c r="K12" s="681" t="s">
        <v>291</v>
      </c>
      <c r="L12" s="656"/>
      <c r="M12" s="684" t="s">
        <v>68</v>
      </c>
      <c r="N12" s="684" t="s">
        <v>68</v>
      </c>
      <c r="O12" s="684" t="s">
        <v>68</v>
      </c>
      <c r="P12" s="4"/>
    </row>
    <row r="13" spans="1:18" x14ac:dyDescent="0.2">
      <c r="A13" s="2"/>
      <c r="B13" s="250" t="s">
        <v>69</v>
      </c>
      <c r="C13" s="250" t="s">
        <v>195</v>
      </c>
      <c r="D13" s="243">
        <f>SUM(D14:D19)</f>
        <v>0</v>
      </c>
      <c r="E13" s="685">
        <f>G13+M13+O13</f>
        <v>0</v>
      </c>
      <c r="F13" s="686"/>
      <c r="G13" s="687">
        <f>SUM(G14:G19)</f>
        <v>0</v>
      </c>
      <c r="H13" s="245" t="e">
        <f>SUM(H14:H19)</f>
        <v>#VALUE!</v>
      </c>
      <c r="I13" s="244" t="e">
        <f>SUM(I17:I19)</f>
        <v>#VALUE!</v>
      </c>
      <c r="J13" s="688"/>
      <c r="K13" s="245" t="e">
        <f>SUM(K16)</f>
        <v>#DIV/0!</v>
      </c>
      <c r="L13" s="689"/>
      <c r="M13" s="690">
        <f>SUM(M17:M19)</f>
        <v>0</v>
      </c>
      <c r="N13" s="691"/>
      <c r="O13" s="690">
        <f>SUM(O16)</f>
        <v>0</v>
      </c>
      <c r="P13" s="4"/>
    </row>
    <row r="14" spans="1:18" x14ac:dyDescent="0.2">
      <c r="A14" s="2"/>
      <c r="B14" s="692" t="s">
        <v>431</v>
      </c>
      <c r="C14" s="693" t="str">
        <f>B_KZP_Kalkulation!H22</f>
        <v>PDL/stellv. PDL</v>
      </c>
      <c r="D14" s="694">
        <f>B_KZP_Kalkulation!L22*B_KZP_Kalkulation!J22</f>
        <v>0</v>
      </c>
      <c r="E14" s="695">
        <f>G14+M14+N14+O14</f>
        <v>0</v>
      </c>
      <c r="F14" s="696">
        <v>1</v>
      </c>
      <c r="G14" s="697">
        <f>D14*F14</f>
        <v>0</v>
      </c>
      <c r="H14" s="698" t="e">
        <f>G14/$K$6</f>
        <v>#VALUE!</v>
      </c>
      <c r="I14" s="699"/>
      <c r="J14" s="700"/>
      <c r="K14" s="701"/>
      <c r="L14" s="700"/>
      <c r="M14" s="702"/>
      <c r="N14" s="691"/>
      <c r="O14" s="691"/>
      <c r="P14" s="4"/>
    </row>
    <row r="15" spans="1:18" x14ac:dyDescent="0.2">
      <c r="A15" s="2"/>
      <c r="B15" s="692" t="s">
        <v>432</v>
      </c>
      <c r="C15" s="693" t="str">
        <f>B_KZP_Kalkulation!H23</f>
        <v>Pflege / Betreuung</v>
      </c>
      <c r="D15" s="694">
        <f>B_KZP_Kalkulation!L23*B_KZP_Kalkulation!J23</f>
        <v>0</v>
      </c>
      <c r="E15" s="695">
        <f>G15+M15+N15+O15</f>
        <v>0</v>
      </c>
      <c r="F15" s="696">
        <v>1</v>
      </c>
      <c r="G15" s="697">
        <f>D15*F15</f>
        <v>0</v>
      </c>
      <c r="H15" s="698" t="e">
        <f>G15/$K$6</f>
        <v>#VALUE!</v>
      </c>
      <c r="I15" s="703"/>
      <c r="J15" s="700"/>
      <c r="K15" s="704"/>
      <c r="L15" s="700"/>
      <c r="M15" s="702"/>
      <c r="N15" s="691"/>
      <c r="O15" s="691"/>
      <c r="P15" s="4"/>
    </row>
    <row r="16" spans="1:18" x14ac:dyDescent="0.2">
      <c r="A16" s="2"/>
      <c r="B16" s="692" t="s">
        <v>70</v>
      </c>
      <c r="C16" s="693" t="str">
        <f>B_KZP_Kalkulation!H25</f>
        <v>zusätzliche Betreuung und Aktivierung nach 
§ 43 b SGB XI</v>
      </c>
      <c r="D16" s="694">
        <f>B_KZP_Kalkulation!L25*B_KZP_Kalkulation!J25</f>
        <v>0</v>
      </c>
      <c r="E16" s="695">
        <f t="shared" ref="E16:E18" si="0">G16+M16+N16+O16</f>
        <v>0</v>
      </c>
      <c r="F16" s="696"/>
      <c r="G16" s="697"/>
      <c r="H16" s="695"/>
      <c r="I16" s="704"/>
      <c r="J16" s="705"/>
      <c r="K16" s="698" t="e">
        <f>D16/$K$8</f>
        <v>#DIV/0!</v>
      </c>
      <c r="L16" s="700"/>
      <c r="M16" s="706"/>
      <c r="N16" s="691"/>
      <c r="O16" s="707">
        <f>D16</f>
        <v>0</v>
      </c>
      <c r="P16" s="4"/>
    </row>
    <row r="17" spans="1:17" x14ac:dyDescent="0.2">
      <c r="A17" s="2"/>
      <c r="B17" s="692" t="s">
        <v>71</v>
      </c>
      <c r="C17" s="693" t="str">
        <f>B_KZP_Kalkulation!H26</f>
        <v>Leitung / Verwaltung</v>
      </c>
      <c r="D17" s="694">
        <f>B_KZP_Kalkulation!L26*B_KZP_Kalkulation!J26</f>
        <v>0</v>
      </c>
      <c r="E17" s="695">
        <f t="shared" si="0"/>
        <v>0</v>
      </c>
      <c r="F17" s="696">
        <v>0.5</v>
      </c>
      <c r="G17" s="697">
        <f>D17*F17</f>
        <v>0</v>
      </c>
      <c r="H17" s="708" t="e">
        <f>G17/$K$6</f>
        <v>#VALUE!</v>
      </c>
      <c r="I17" s="698" t="e">
        <f t="shared" ref="I17:I19" si="1">M17/$K$6</f>
        <v>#VALUE!</v>
      </c>
      <c r="J17" s="700"/>
      <c r="K17" s="700"/>
      <c r="L17" s="700"/>
      <c r="M17" s="707">
        <f t="shared" ref="M17:M19" si="2">D17*F17</f>
        <v>0</v>
      </c>
      <c r="N17" s="691"/>
      <c r="O17" s="691"/>
      <c r="P17" s="4"/>
    </row>
    <row r="18" spans="1:17" x14ac:dyDescent="0.2">
      <c r="A18" s="2"/>
      <c r="B18" s="709" t="s">
        <v>72</v>
      </c>
      <c r="C18" s="693" t="str">
        <f>B_KZP_Kalkulation!H27</f>
        <v>Hauswirtschaft/ Küche/ Haustechnik</v>
      </c>
      <c r="D18" s="694">
        <f>B_KZP_Kalkulation!L27*B_KZP_Kalkulation!J27</f>
        <v>0</v>
      </c>
      <c r="E18" s="695">
        <f t="shared" si="0"/>
        <v>0</v>
      </c>
      <c r="F18" s="696">
        <v>0.5</v>
      </c>
      <c r="G18" s="697">
        <f t="shared" ref="G18:G19" si="3">D18*F18</f>
        <v>0</v>
      </c>
      <c r="H18" s="708" t="e">
        <f t="shared" ref="H18:H19" si="4">G18/$K$6</f>
        <v>#VALUE!</v>
      </c>
      <c r="I18" s="698" t="e">
        <f t="shared" si="1"/>
        <v>#VALUE!</v>
      </c>
      <c r="J18" s="700"/>
      <c r="K18" s="700"/>
      <c r="L18" s="700"/>
      <c r="M18" s="707">
        <f t="shared" si="2"/>
        <v>0</v>
      </c>
      <c r="N18" s="691"/>
      <c r="O18" s="691"/>
      <c r="P18" s="4"/>
      <c r="Q18" s="247"/>
    </row>
    <row r="19" spans="1:17" x14ac:dyDescent="0.2">
      <c r="A19" s="2"/>
      <c r="B19" s="692" t="s">
        <v>73</v>
      </c>
      <c r="C19" s="693" t="str">
        <f>B_KZP_Kalkulation!H30</f>
        <v>Freiwillige Dienste/FSJ Einsatz</v>
      </c>
      <c r="D19" s="694">
        <f>B_KZP_Kalkulation!L30*B_KZP_Kalkulation!J30</f>
        <v>0</v>
      </c>
      <c r="E19" s="695">
        <f>G19+M19+N19+O19</f>
        <v>0</v>
      </c>
      <c r="F19" s="696">
        <v>0.5</v>
      </c>
      <c r="G19" s="697">
        <f t="shared" si="3"/>
        <v>0</v>
      </c>
      <c r="H19" s="708" t="e">
        <f t="shared" si="4"/>
        <v>#VALUE!</v>
      </c>
      <c r="I19" s="698" t="e">
        <f t="shared" si="1"/>
        <v>#VALUE!</v>
      </c>
      <c r="J19" s="703"/>
      <c r="K19" s="700"/>
      <c r="L19" s="700"/>
      <c r="M19" s="707">
        <f t="shared" si="2"/>
        <v>0</v>
      </c>
      <c r="N19" s="691"/>
      <c r="O19" s="691"/>
      <c r="P19" s="4"/>
      <c r="Q19" s="222"/>
    </row>
    <row r="20" spans="1:17" x14ac:dyDescent="0.2">
      <c r="A20" s="2"/>
      <c r="C20" s="248"/>
      <c r="D20" s="249"/>
      <c r="E20" s="710"/>
      <c r="F20" s="710"/>
      <c r="G20" s="700"/>
      <c r="H20" s="246"/>
      <c r="I20" s="246"/>
      <c r="J20" s="246"/>
      <c r="K20" s="246"/>
      <c r="L20" s="246"/>
      <c r="M20" s="711"/>
      <c r="N20" s="691"/>
      <c r="O20" s="691"/>
      <c r="P20" s="4"/>
    </row>
    <row r="21" spans="1:17" x14ac:dyDescent="0.2">
      <c r="A21" s="2"/>
      <c r="B21" s="712" t="s">
        <v>27</v>
      </c>
      <c r="C21" s="250" t="s">
        <v>74</v>
      </c>
      <c r="D21" s="243">
        <f>SUM(D22:D31)</f>
        <v>0</v>
      </c>
      <c r="E21" s="685">
        <f>G21+M21+N21+O21</f>
        <v>0</v>
      </c>
      <c r="F21" s="686"/>
      <c r="G21" s="687">
        <f>SUM(G23:G31)</f>
        <v>0</v>
      </c>
      <c r="H21" s="713" t="e">
        <f>SUM(H23:H31)</f>
        <v>#VALUE!</v>
      </c>
      <c r="I21" s="713" t="e">
        <f>SUM(I23:I31)</f>
        <v>#VALUE!</v>
      </c>
      <c r="J21" s="244" t="e">
        <f>J22</f>
        <v>#VALUE!</v>
      </c>
      <c r="K21" s="714"/>
      <c r="L21" s="252"/>
      <c r="M21" s="715">
        <f>SUM(M22:M31)</f>
        <v>0</v>
      </c>
      <c r="N21" s="715">
        <f>SUM(N22:N31)</f>
        <v>0</v>
      </c>
      <c r="O21" s="690"/>
      <c r="P21" s="4"/>
    </row>
    <row r="22" spans="1:17" x14ac:dyDescent="0.2">
      <c r="A22" s="2"/>
      <c r="B22" s="716" t="s">
        <v>32</v>
      </c>
      <c r="C22" s="717" t="str">
        <f>B_KZP_Kalkulation!I34</f>
        <v>Lebensmittel</v>
      </c>
      <c r="D22" s="694">
        <f>B_KZP_Kalkulation!L34</f>
        <v>0</v>
      </c>
      <c r="E22" s="695">
        <f>G22+M22+N22+O22</f>
        <v>0</v>
      </c>
      <c r="F22" s="695"/>
      <c r="G22" s="718"/>
      <c r="H22" s="700"/>
      <c r="I22" s="700"/>
      <c r="J22" s="698" t="e">
        <f>N22/$K$6</f>
        <v>#VALUE!</v>
      </c>
      <c r="K22" s="703"/>
      <c r="L22" s="700"/>
      <c r="M22" s="719"/>
      <c r="N22" s="707">
        <f>D22</f>
        <v>0</v>
      </c>
      <c r="O22" s="711"/>
      <c r="P22" s="4"/>
    </row>
    <row r="23" spans="1:17" x14ac:dyDescent="0.2">
      <c r="A23" s="2"/>
      <c r="B23" s="716" t="s">
        <v>34</v>
      </c>
      <c r="C23" s="717" t="str">
        <f>B_KZP_Kalkulation!I35</f>
        <v>pflegerischer Sachbedarf</v>
      </c>
      <c r="D23" s="694">
        <f>B_KZP_Kalkulation!L35</f>
        <v>0</v>
      </c>
      <c r="E23" s="695">
        <f t="shared" ref="E23:E31" si="5">G23+M23+N23+O23</f>
        <v>0</v>
      </c>
      <c r="F23" s="696">
        <v>1</v>
      </c>
      <c r="G23" s="697">
        <f>D23*F23</f>
        <v>0</v>
      </c>
      <c r="H23" s="698" t="e">
        <f>G23/$K$6</f>
        <v>#VALUE!</v>
      </c>
      <c r="I23" s="698" t="e">
        <f>M23/$K$6</f>
        <v>#VALUE!</v>
      </c>
      <c r="J23" s="700"/>
      <c r="K23" s="700"/>
      <c r="L23" s="700"/>
      <c r="M23" s="706"/>
      <c r="N23" s="720"/>
      <c r="O23" s="691"/>
      <c r="P23" s="4"/>
    </row>
    <row r="24" spans="1:17" x14ac:dyDescent="0.2">
      <c r="A24" s="2"/>
      <c r="B24" s="716" t="s">
        <v>35</v>
      </c>
      <c r="C24" s="717" t="str">
        <f>B_KZP_Kalkulation!I36</f>
        <v>Wasser, Energie, Brennstoffe</v>
      </c>
      <c r="D24" s="694">
        <f>B_KZP_Kalkulation!L36</f>
        <v>0</v>
      </c>
      <c r="E24" s="695">
        <f t="shared" si="5"/>
        <v>0</v>
      </c>
      <c r="F24" s="696">
        <v>0.5</v>
      </c>
      <c r="G24" s="697">
        <f>D24*F24</f>
        <v>0</v>
      </c>
      <c r="H24" s="708" t="e">
        <f>G24/$K$6</f>
        <v>#VALUE!</v>
      </c>
      <c r="I24" s="698" t="e">
        <f>M24/$K$6</f>
        <v>#VALUE!</v>
      </c>
      <c r="J24" s="700"/>
      <c r="K24" s="700"/>
      <c r="L24" s="700"/>
      <c r="M24" s="707">
        <f>D24*F24</f>
        <v>0</v>
      </c>
      <c r="N24" s="691"/>
      <c r="O24" s="691"/>
      <c r="P24" s="4"/>
    </row>
    <row r="25" spans="1:17" x14ac:dyDescent="0.2">
      <c r="A25" s="2"/>
      <c r="B25" s="716" t="s">
        <v>433</v>
      </c>
      <c r="C25" s="717" t="str">
        <f>B_KZP_Kalkulation!I37</f>
        <v>Verwaltungsbedarf</v>
      </c>
      <c r="D25" s="694">
        <f>B_KZP_Kalkulation!L37</f>
        <v>0</v>
      </c>
      <c r="E25" s="695">
        <f t="shared" si="5"/>
        <v>0</v>
      </c>
      <c r="F25" s="696">
        <v>0.5</v>
      </c>
      <c r="G25" s="697">
        <f>D25*F25</f>
        <v>0</v>
      </c>
      <c r="H25" s="708" t="e">
        <f t="shared" ref="H25:H31" si="6">G25/$K$6</f>
        <v>#VALUE!</v>
      </c>
      <c r="I25" s="698" t="e">
        <f t="shared" ref="I25:I31" si="7">M25/$K$6</f>
        <v>#VALUE!</v>
      </c>
      <c r="J25" s="700"/>
      <c r="K25" s="700"/>
      <c r="L25" s="700"/>
      <c r="M25" s="707">
        <f>D25*F25</f>
        <v>0</v>
      </c>
      <c r="N25" s="691"/>
      <c r="O25" s="691"/>
      <c r="P25" s="4"/>
    </row>
    <row r="26" spans="1:17" x14ac:dyDescent="0.2">
      <c r="A26" s="2"/>
      <c r="B26" s="716" t="s">
        <v>434</v>
      </c>
      <c r="C26" s="717" t="str">
        <f>B_KZP_Kalkulation!I38</f>
        <v>Zentrale Verwaltungsdienste</v>
      </c>
      <c r="D26" s="694">
        <f>B_KZP_Kalkulation!L38</f>
        <v>0</v>
      </c>
      <c r="E26" s="695">
        <f t="shared" si="5"/>
        <v>0</v>
      </c>
      <c r="F26" s="696">
        <v>0.5</v>
      </c>
      <c r="G26" s="697">
        <f t="shared" ref="G26:G31" si="8">D26*F26</f>
        <v>0</v>
      </c>
      <c r="H26" s="708" t="e">
        <f t="shared" si="6"/>
        <v>#VALUE!</v>
      </c>
      <c r="I26" s="698" t="e">
        <f t="shared" si="7"/>
        <v>#VALUE!</v>
      </c>
      <c r="J26" s="700"/>
      <c r="K26" s="700"/>
      <c r="L26" s="700"/>
      <c r="M26" s="707">
        <f t="shared" ref="M26:M31" si="9">D26*F26</f>
        <v>0</v>
      </c>
      <c r="N26" s="691"/>
      <c r="O26" s="691"/>
      <c r="P26" s="4"/>
    </row>
    <row r="27" spans="1:17" x14ac:dyDescent="0.2">
      <c r="A27" s="2"/>
      <c r="B27" s="716" t="s">
        <v>36</v>
      </c>
      <c r="C27" s="717" t="str">
        <f>B_KZP_Kalkulation!I39</f>
        <v>Betreuungsaufwand</v>
      </c>
      <c r="D27" s="694">
        <f>B_KZP_Kalkulation!L39</f>
        <v>0</v>
      </c>
      <c r="E27" s="695">
        <f t="shared" si="5"/>
        <v>0</v>
      </c>
      <c r="F27" s="696">
        <v>1</v>
      </c>
      <c r="G27" s="697">
        <f>D27*F27</f>
        <v>0</v>
      </c>
      <c r="H27" s="708" t="e">
        <f>G27/$K$6</f>
        <v>#VALUE!</v>
      </c>
      <c r="I27" s="698" t="e">
        <f>M27/$K$6</f>
        <v>#VALUE!</v>
      </c>
      <c r="J27" s="700"/>
      <c r="K27" s="700"/>
      <c r="L27" s="700"/>
      <c r="M27" s="721"/>
      <c r="N27" s="691"/>
      <c r="O27" s="691"/>
      <c r="P27" s="4"/>
    </row>
    <row r="28" spans="1:17" x14ac:dyDescent="0.2">
      <c r="A28" s="2"/>
      <c r="B28" s="716" t="s">
        <v>38</v>
      </c>
      <c r="C28" s="717" t="str">
        <f>B_KZP_Kalkulation!I40</f>
        <v>Wirtschaftsbedarf</v>
      </c>
      <c r="D28" s="694">
        <f>B_KZP_Kalkulation!L40</f>
        <v>0</v>
      </c>
      <c r="E28" s="695">
        <f t="shared" si="5"/>
        <v>0</v>
      </c>
      <c r="F28" s="696">
        <v>0.5</v>
      </c>
      <c r="G28" s="697">
        <f t="shared" si="8"/>
        <v>0</v>
      </c>
      <c r="H28" s="708" t="e">
        <f t="shared" si="6"/>
        <v>#VALUE!</v>
      </c>
      <c r="I28" s="698" t="e">
        <f t="shared" si="7"/>
        <v>#VALUE!</v>
      </c>
      <c r="J28" s="700"/>
      <c r="K28" s="700"/>
      <c r="L28" s="700"/>
      <c r="M28" s="707">
        <f t="shared" si="9"/>
        <v>0</v>
      </c>
      <c r="N28" s="691"/>
      <c r="O28" s="691"/>
      <c r="P28" s="4"/>
    </row>
    <row r="29" spans="1:17" x14ac:dyDescent="0.2">
      <c r="A29" s="2"/>
      <c r="B29" s="716" t="s">
        <v>40</v>
      </c>
      <c r="C29" s="717" t="str">
        <f>B_KZP_Kalkulation!I41</f>
        <v>Steuern/Abgaben/Versicherungen</v>
      </c>
      <c r="D29" s="694">
        <f>B_KZP_Kalkulation!L41</f>
        <v>0</v>
      </c>
      <c r="E29" s="695">
        <f t="shared" si="5"/>
        <v>0</v>
      </c>
      <c r="F29" s="696">
        <v>0.5</v>
      </c>
      <c r="G29" s="697">
        <f t="shared" si="8"/>
        <v>0</v>
      </c>
      <c r="H29" s="708" t="e">
        <f t="shared" si="6"/>
        <v>#VALUE!</v>
      </c>
      <c r="I29" s="698" t="e">
        <f t="shared" si="7"/>
        <v>#VALUE!</v>
      </c>
      <c r="J29" s="700"/>
      <c r="K29" s="700"/>
      <c r="L29" s="700"/>
      <c r="M29" s="707">
        <f t="shared" si="9"/>
        <v>0</v>
      </c>
      <c r="N29" s="691"/>
      <c r="O29" s="691"/>
      <c r="P29" s="4"/>
    </row>
    <row r="30" spans="1:17" x14ac:dyDescent="0.2">
      <c r="A30" s="2"/>
      <c r="B30" s="716" t="s">
        <v>42</v>
      </c>
      <c r="C30" s="717" t="str">
        <f>B_KZP_Kalkulation!I42</f>
        <v>Wartung (keine Instandhaltung)</v>
      </c>
      <c r="D30" s="694">
        <f>B_KZP_Kalkulation!L42</f>
        <v>0</v>
      </c>
      <c r="E30" s="695">
        <f t="shared" si="5"/>
        <v>0</v>
      </c>
      <c r="F30" s="696">
        <v>0.5</v>
      </c>
      <c r="G30" s="697">
        <f t="shared" si="8"/>
        <v>0</v>
      </c>
      <c r="H30" s="708" t="e">
        <f t="shared" si="6"/>
        <v>#VALUE!</v>
      </c>
      <c r="I30" s="698" t="e">
        <f t="shared" si="7"/>
        <v>#VALUE!</v>
      </c>
      <c r="J30" s="700"/>
      <c r="K30" s="700"/>
      <c r="L30" s="700"/>
      <c r="M30" s="707">
        <f t="shared" si="9"/>
        <v>0</v>
      </c>
      <c r="N30" s="691"/>
      <c r="O30" s="691"/>
      <c r="P30" s="4"/>
    </row>
    <row r="31" spans="1:17" x14ac:dyDescent="0.2">
      <c r="A31" s="2"/>
      <c r="B31" s="716" t="s">
        <v>44</v>
      </c>
      <c r="C31" s="717" t="str">
        <f>B_KZP_Kalkulation!I43</f>
        <v>sonstige Aufwendungen</v>
      </c>
      <c r="D31" s="694">
        <f>B_KZP_Kalkulation!L43</f>
        <v>0</v>
      </c>
      <c r="E31" s="695">
        <f t="shared" si="5"/>
        <v>0</v>
      </c>
      <c r="F31" s="696">
        <v>0.5</v>
      </c>
      <c r="G31" s="697">
        <f t="shared" si="8"/>
        <v>0</v>
      </c>
      <c r="H31" s="708" t="e">
        <f t="shared" si="6"/>
        <v>#VALUE!</v>
      </c>
      <c r="I31" s="698" t="e">
        <f t="shared" si="7"/>
        <v>#VALUE!</v>
      </c>
      <c r="J31" s="700"/>
      <c r="K31" s="700"/>
      <c r="L31" s="700"/>
      <c r="M31" s="707">
        <f t="shared" si="9"/>
        <v>0</v>
      </c>
      <c r="N31" s="691"/>
      <c r="O31" s="691"/>
      <c r="P31" s="4"/>
    </row>
    <row r="32" spans="1:17" x14ac:dyDescent="0.2">
      <c r="A32" s="2"/>
      <c r="D32" s="249"/>
      <c r="E32" s="710"/>
      <c r="F32" s="710"/>
      <c r="G32" s="700"/>
      <c r="H32" s="246"/>
      <c r="I32" s="246"/>
      <c r="J32" s="700"/>
      <c r="K32" s="700"/>
      <c r="L32" s="700"/>
      <c r="M32" s="711"/>
      <c r="N32" s="691"/>
      <c r="O32" s="691"/>
      <c r="P32" s="4"/>
    </row>
    <row r="33" spans="1:34" x14ac:dyDescent="0.2">
      <c r="A33" s="2"/>
      <c r="B33" s="250" t="s">
        <v>75</v>
      </c>
      <c r="C33" s="722" t="s">
        <v>76</v>
      </c>
      <c r="D33" s="243">
        <f>SUM(D34:D40)</f>
        <v>0</v>
      </c>
      <c r="E33" s="685">
        <f>G33+M33+N33</f>
        <v>0</v>
      </c>
      <c r="F33" s="686"/>
      <c r="G33" s="687">
        <f t="shared" ref="G33:I33" si="10">SUM(G34:G40)</f>
        <v>0</v>
      </c>
      <c r="H33" s="244" t="e">
        <f t="shared" si="10"/>
        <v>#VALUE!</v>
      </c>
      <c r="I33" s="713" t="e">
        <f t="shared" si="10"/>
        <v>#VALUE!</v>
      </c>
      <c r="J33" s="252"/>
      <c r="K33" s="252"/>
      <c r="L33" s="252"/>
      <c r="M33" s="715">
        <f>SUM(M34:M40)</f>
        <v>0</v>
      </c>
      <c r="N33" s="690"/>
      <c r="O33" s="691"/>
      <c r="P33" s="4"/>
    </row>
    <row r="34" spans="1:34" x14ac:dyDescent="0.2">
      <c r="A34" s="2"/>
      <c r="B34" s="709" t="s">
        <v>458</v>
      </c>
      <c r="C34" s="723" t="str">
        <f>B_KZP_Kalkulation!C47</f>
        <v>Küche</v>
      </c>
      <c r="D34" s="694">
        <f>B_KZP_Kalkulation!L47</f>
        <v>0</v>
      </c>
      <c r="E34" s="695">
        <f>G34+M34+N34+O34</f>
        <v>0</v>
      </c>
      <c r="F34" s="696">
        <v>0.5</v>
      </c>
      <c r="G34" s="697">
        <f>D34*F34</f>
        <v>0</v>
      </c>
      <c r="H34" s="708" t="e">
        <f t="shared" ref="H34:H40" si="11">G34/$K$6</f>
        <v>#VALUE!</v>
      </c>
      <c r="I34" s="698" t="e">
        <f>M34/$K$6</f>
        <v>#VALUE!</v>
      </c>
      <c r="J34" s="700"/>
      <c r="K34" s="700"/>
      <c r="L34" s="700"/>
      <c r="M34" s="707">
        <f>D34*F34</f>
        <v>0</v>
      </c>
      <c r="N34" s="724"/>
      <c r="O34" s="725"/>
      <c r="P34" s="4"/>
    </row>
    <row r="35" spans="1:34" x14ac:dyDescent="0.2">
      <c r="A35" s="2"/>
      <c r="B35" s="709" t="s">
        <v>459</v>
      </c>
      <c r="C35" s="723" t="str">
        <f>B_KZP_Kalkulation!C48</f>
        <v>Wäscherei</v>
      </c>
      <c r="D35" s="694">
        <f>B_KZP_Kalkulation!L48</f>
        <v>0</v>
      </c>
      <c r="E35" s="695">
        <f t="shared" ref="E35:E40" si="12">G35+M35+N35+O35</f>
        <v>0</v>
      </c>
      <c r="F35" s="696">
        <v>0.5</v>
      </c>
      <c r="G35" s="697">
        <f t="shared" ref="G35:G40" si="13">D35*F35</f>
        <v>0</v>
      </c>
      <c r="H35" s="708" t="e">
        <f t="shared" si="11"/>
        <v>#VALUE!</v>
      </c>
      <c r="I35" s="698" t="e">
        <f t="shared" ref="I35:I40" si="14">M35/$K$6</f>
        <v>#VALUE!</v>
      </c>
      <c r="J35" s="700"/>
      <c r="K35" s="700"/>
      <c r="L35" s="700"/>
      <c r="M35" s="707">
        <f t="shared" ref="M35:M40" si="15">D35*F35</f>
        <v>0</v>
      </c>
      <c r="N35" s="725"/>
      <c r="O35" s="725"/>
      <c r="P35" s="251"/>
    </row>
    <row r="36" spans="1:34" x14ac:dyDescent="0.2">
      <c r="A36" s="2"/>
      <c r="B36" s="709" t="s">
        <v>460</v>
      </c>
      <c r="C36" s="723" t="str">
        <f>B_KZP_Kalkulation!C49</f>
        <v>Reinigung</v>
      </c>
      <c r="D36" s="694">
        <f>B_KZP_Kalkulation!L49</f>
        <v>0</v>
      </c>
      <c r="E36" s="695">
        <f t="shared" si="12"/>
        <v>0</v>
      </c>
      <c r="F36" s="696">
        <v>0.5</v>
      </c>
      <c r="G36" s="697">
        <f t="shared" si="13"/>
        <v>0</v>
      </c>
      <c r="H36" s="708" t="e">
        <f t="shared" si="11"/>
        <v>#VALUE!</v>
      </c>
      <c r="I36" s="698" t="e">
        <f t="shared" si="14"/>
        <v>#VALUE!</v>
      </c>
      <c r="J36" s="700"/>
      <c r="K36" s="700"/>
      <c r="L36" s="700"/>
      <c r="M36" s="707">
        <f t="shared" si="15"/>
        <v>0</v>
      </c>
      <c r="N36" s="726"/>
      <c r="O36" s="725"/>
      <c r="P36" s="4"/>
    </row>
    <row r="37" spans="1:34" x14ac:dyDescent="0.2">
      <c r="A37" s="2"/>
      <c r="B37" s="709" t="s">
        <v>461</v>
      </c>
      <c r="C37" s="723" t="str">
        <f>B_KZP_Kalkulation!C50</f>
        <v>Haustechnik</v>
      </c>
      <c r="D37" s="694">
        <f>B_KZP_Kalkulation!L50</f>
        <v>0</v>
      </c>
      <c r="E37" s="695">
        <f t="shared" si="12"/>
        <v>0</v>
      </c>
      <c r="F37" s="696">
        <v>0.5</v>
      </c>
      <c r="G37" s="697">
        <f t="shared" si="13"/>
        <v>0</v>
      </c>
      <c r="H37" s="708" t="e">
        <f t="shared" si="11"/>
        <v>#VALUE!</v>
      </c>
      <c r="I37" s="698" t="e">
        <f t="shared" si="14"/>
        <v>#VALUE!</v>
      </c>
      <c r="J37" s="700"/>
      <c r="K37" s="700"/>
      <c r="L37" s="700"/>
      <c r="M37" s="707">
        <f t="shared" si="15"/>
        <v>0</v>
      </c>
      <c r="N37" s="727"/>
      <c r="O37" s="728"/>
      <c r="P37" s="4"/>
    </row>
    <row r="38" spans="1:34" x14ac:dyDescent="0.2">
      <c r="A38" s="2"/>
      <c r="B38" s="709" t="s">
        <v>462</v>
      </c>
      <c r="C38" s="723" t="str">
        <f>B_KZP_Kalkulation!C51</f>
        <v>Verwaltung</v>
      </c>
      <c r="D38" s="694">
        <f>B_KZP_Kalkulation!L51</f>
        <v>0</v>
      </c>
      <c r="E38" s="695">
        <f t="shared" si="12"/>
        <v>0</v>
      </c>
      <c r="F38" s="696">
        <v>0.5</v>
      </c>
      <c r="G38" s="697">
        <f t="shared" si="13"/>
        <v>0</v>
      </c>
      <c r="H38" s="708" t="e">
        <f t="shared" si="11"/>
        <v>#VALUE!</v>
      </c>
      <c r="I38" s="698" t="e">
        <f t="shared" si="14"/>
        <v>#VALUE!</v>
      </c>
      <c r="J38" s="700"/>
      <c r="K38" s="700"/>
      <c r="L38" s="700"/>
      <c r="M38" s="707">
        <f t="shared" si="15"/>
        <v>0</v>
      </c>
      <c r="N38" s="691"/>
      <c r="O38" s="691"/>
      <c r="P38" s="4"/>
    </row>
    <row r="39" spans="1:34" x14ac:dyDescent="0.2">
      <c r="A39" s="2"/>
      <c r="B39" s="709" t="s">
        <v>463</v>
      </c>
      <c r="C39" s="723" t="str">
        <f>IF(B_KZP_Kalkulation!C52&lt;&gt;"",B_KZP_Kalkulation!C52,"")</f>
        <v/>
      </c>
      <c r="D39" s="694">
        <f>B_KZP_Kalkulation!L52</f>
        <v>0</v>
      </c>
      <c r="E39" s="695">
        <f t="shared" si="12"/>
        <v>0</v>
      </c>
      <c r="F39" s="696">
        <v>0.5</v>
      </c>
      <c r="G39" s="697">
        <f t="shared" si="13"/>
        <v>0</v>
      </c>
      <c r="H39" s="708" t="e">
        <f>G39/$K$6</f>
        <v>#VALUE!</v>
      </c>
      <c r="I39" s="698" t="e">
        <f t="shared" si="14"/>
        <v>#VALUE!</v>
      </c>
      <c r="J39" s="700"/>
      <c r="K39" s="700"/>
      <c r="L39" s="700"/>
      <c r="M39" s="707">
        <f t="shared" si="15"/>
        <v>0</v>
      </c>
      <c r="N39" s="691"/>
      <c r="O39" s="691"/>
      <c r="P39" s="4"/>
    </row>
    <row r="40" spans="1:34" x14ac:dyDescent="0.2">
      <c r="A40" s="2"/>
      <c r="B40" s="709" t="s">
        <v>464</v>
      </c>
      <c r="C40" s="723" t="str">
        <f>IF(B_KZP_Kalkulation!C53&lt;&gt;"",B_KZP_Kalkulation!C53,"")</f>
        <v/>
      </c>
      <c r="D40" s="694">
        <f>B_KZP_Kalkulation!L53</f>
        <v>0</v>
      </c>
      <c r="E40" s="701">
        <f t="shared" si="12"/>
        <v>0</v>
      </c>
      <c r="F40" s="729">
        <v>0.5</v>
      </c>
      <c r="G40" s="699">
        <f t="shared" si="13"/>
        <v>0</v>
      </c>
      <c r="H40" s="730" t="e">
        <f t="shared" si="11"/>
        <v>#VALUE!</v>
      </c>
      <c r="I40" s="731" t="e">
        <f t="shared" si="14"/>
        <v>#VALUE!</v>
      </c>
      <c r="J40" s="700"/>
      <c r="K40" s="700"/>
      <c r="L40" s="700"/>
      <c r="M40" s="732">
        <f t="shared" si="15"/>
        <v>0</v>
      </c>
      <c r="N40" s="691"/>
      <c r="O40" s="691"/>
      <c r="P40" s="4"/>
      <c r="Q40" s="2"/>
    </row>
    <row r="41" spans="1:34" s="734" customFormat="1" ht="12.75" x14ac:dyDescent="0.2">
      <c r="A41" s="733"/>
      <c r="D41" s="735"/>
      <c r="E41" s="736"/>
      <c r="F41" s="736"/>
      <c r="G41" s="736"/>
      <c r="H41" s="735"/>
      <c r="I41" s="735"/>
      <c r="J41" s="737"/>
      <c r="K41" s="737"/>
      <c r="L41" s="737"/>
      <c r="M41" s="719"/>
      <c r="N41" s="711"/>
      <c r="O41" s="711"/>
      <c r="P41" s="738"/>
      <c r="Q41" s="739"/>
      <c r="R41" s="640"/>
      <c r="S41" s="640"/>
      <c r="T41" s="640"/>
      <c r="U41" s="640"/>
      <c r="V41" s="640"/>
      <c r="W41" s="640"/>
      <c r="X41" s="640"/>
      <c r="Y41" s="640"/>
      <c r="Z41" s="640"/>
      <c r="AA41" s="640"/>
      <c r="AB41" s="640"/>
      <c r="AC41" s="640"/>
      <c r="AD41" s="640"/>
      <c r="AE41" s="640"/>
      <c r="AF41" s="640"/>
      <c r="AG41" s="640"/>
      <c r="AH41" s="640"/>
    </row>
    <row r="42" spans="1:34" s="640" customFormat="1" ht="12.75" x14ac:dyDescent="0.2">
      <c r="A42" s="739"/>
      <c r="D42" s="252"/>
      <c r="E42" s="689"/>
      <c r="F42" s="689"/>
      <c r="G42" s="689"/>
      <c r="H42" s="252"/>
      <c r="I42" s="252"/>
      <c r="J42" s="737"/>
      <c r="K42" s="737"/>
      <c r="L42" s="737"/>
      <c r="M42" s="711"/>
      <c r="N42" s="711"/>
      <c r="O42" s="711"/>
      <c r="P42" s="738"/>
    </row>
    <row r="43" spans="1:34" x14ac:dyDescent="0.2">
      <c r="A43" s="2"/>
      <c r="B43" s="740"/>
      <c r="C43" s="673"/>
      <c r="D43" s="741"/>
      <c r="E43" s="700"/>
      <c r="F43" s="742"/>
      <c r="G43" s="700"/>
      <c r="H43" s="1261"/>
      <c r="I43" s="1262"/>
      <c r="J43" s="1262"/>
      <c r="K43" s="1263"/>
      <c r="L43" s="743"/>
      <c r="M43" s="744"/>
      <c r="N43" s="711"/>
      <c r="O43" s="690"/>
      <c r="P43" s="4"/>
    </row>
    <row r="44" spans="1:34" ht="15" x14ac:dyDescent="0.2">
      <c r="A44" s="2"/>
      <c r="B44" s="740"/>
      <c r="C44" s="673"/>
      <c r="D44" s="741"/>
      <c r="E44" s="745"/>
      <c r="F44" s="746"/>
      <c r="G44" s="745"/>
      <c r="H44" s="1249" t="s">
        <v>351</v>
      </c>
      <c r="I44" s="1250"/>
      <c r="J44" s="1250"/>
      <c r="K44" s="1251"/>
      <c r="L44" s="743"/>
      <c r="M44" s="744"/>
      <c r="N44" s="711"/>
      <c r="O44" s="690"/>
      <c r="P44" s="4"/>
    </row>
    <row r="45" spans="1:34" x14ac:dyDescent="0.2">
      <c r="A45" s="2"/>
      <c r="G45" s="236"/>
      <c r="H45" s="747" t="s">
        <v>435</v>
      </c>
      <c r="I45" s="748" t="s">
        <v>170</v>
      </c>
      <c r="J45" s="748" t="s">
        <v>393</v>
      </c>
      <c r="K45" s="748" t="s">
        <v>436</v>
      </c>
      <c r="L45" s="471"/>
      <c r="M45" s="670"/>
      <c r="N45" s="657"/>
      <c r="O45" s="670"/>
      <c r="P45" s="4"/>
    </row>
    <row r="46" spans="1:34" x14ac:dyDescent="0.2">
      <c r="A46" s="2"/>
      <c r="D46" s="6" t="s">
        <v>437</v>
      </c>
      <c r="F46" s="673"/>
      <c r="G46" s="254"/>
      <c r="H46" s="749" t="e">
        <f>ROUND(H33+H21+H13,2)</f>
        <v>#VALUE!</v>
      </c>
      <c r="I46" s="750" t="e">
        <f>ROUND(I33+I21+I13,2)</f>
        <v>#VALUE!</v>
      </c>
      <c r="J46" s="749" t="e">
        <f>ROUND(J21,2)</f>
        <v>#VALUE!</v>
      </c>
      <c r="K46" s="749" t="e">
        <f>ROUND(K13,2)</f>
        <v>#DIV/0!</v>
      </c>
      <c r="L46" s="751"/>
      <c r="M46" s="752"/>
      <c r="N46" s="752"/>
      <c r="O46" s="753"/>
      <c r="P46" s="4"/>
      <c r="Q46" s="640"/>
      <c r="R46" s="218"/>
    </row>
    <row r="47" spans="1:34" ht="15.75" customHeight="1" x14ac:dyDescent="0.2">
      <c r="A47" s="2"/>
      <c r="D47" s="6"/>
      <c r="E47" s="673"/>
      <c r="F47" s="253"/>
      <c r="G47" s="255"/>
      <c r="H47" s="253"/>
      <c r="I47" s="235"/>
      <c r="J47" s="235"/>
      <c r="K47" s="253"/>
      <c r="L47" s="253"/>
      <c r="M47" s="670"/>
      <c r="N47" s="670"/>
      <c r="O47" s="670"/>
      <c r="P47" s="4"/>
      <c r="Q47" s="256"/>
      <c r="R47" s="257"/>
    </row>
    <row r="48" spans="1:34" x14ac:dyDescent="0.2">
      <c r="A48" s="2"/>
      <c r="C48" s="5"/>
      <c r="G48" s="6"/>
      <c r="H48" s="258"/>
      <c r="I48" s="258"/>
      <c r="J48" s="258"/>
      <c r="K48" s="258"/>
      <c r="L48" s="258"/>
      <c r="M48" s="752"/>
      <c r="N48" s="752"/>
      <c r="P48" s="4"/>
      <c r="R48" s="257"/>
    </row>
    <row r="49" spans="1:18" x14ac:dyDescent="0.2">
      <c r="A49" s="35"/>
      <c r="B49" s="36"/>
      <c r="C49" s="259"/>
      <c r="D49" s="36"/>
      <c r="E49" s="36"/>
      <c r="F49" s="36"/>
      <c r="G49" s="260"/>
      <c r="H49" s="36"/>
      <c r="I49" s="36"/>
      <c r="J49" s="754"/>
      <c r="K49" s="754"/>
      <c r="L49" s="754"/>
      <c r="M49" s="755"/>
      <c r="N49" s="755"/>
      <c r="O49" s="756"/>
      <c r="P49" s="757"/>
      <c r="R49" s="257"/>
    </row>
    <row r="50" spans="1:18" x14ac:dyDescent="0.2">
      <c r="C50" s="5"/>
      <c r="G50" s="6"/>
      <c r="J50" s="640"/>
      <c r="K50" s="640"/>
      <c r="L50" s="640"/>
      <c r="M50" s="752"/>
      <c r="N50" s="752"/>
      <c r="R50" s="257"/>
    </row>
    <row r="51" spans="1:18" ht="14.45" customHeight="1" x14ac:dyDescent="0.2">
      <c r="D51" s="261"/>
      <c r="E51" s="758"/>
      <c r="F51" s="262"/>
      <c r="G51" s="262"/>
      <c r="Q51" s="263"/>
    </row>
    <row r="52" spans="1:18" x14ac:dyDescent="0.2">
      <c r="H52" s="264"/>
    </row>
  </sheetData>
  <sheetProtection algorithmName="SHA-512" hashValue="1bYeCwkW0j9XhtEyT/y5rWmLnRdGUws3ITy78DbdHxfUHViiEZV27GW78o3NxZfa+v28EgAenRaQbhVVc6lb8A==" saltValue="SsjudxOD9efpIOqZDv7aEQ==" spinCount="100000" sheet="1" selectLockedCells="1"/>
  <mergeCells count="6">
    <mergeCell ref="H44:K44"/>
    <mergeCell ref="A1:P1"/>
    <mergeCell ref="A2:P2"/>
    <mergeCell ref="A3:P3"/>
    <mergeCell ref="A4:P4"/>
    <mergeCell ref="H43:K43"/>
  </mergeCells>
  <conditionalFormatting sqref="D19:D31">
    <cfRule type="cellIs" dxfId="7" priority="5" operator="between">
      <formula>0</formula>
      <formula>0</formula>
    </cfRule>
  </conditionalFormatting>
  <conditionalFormatting sqref="D33:D40">
    <cfRule type="cellIs" dxfId="6" priority="4" operator="between">
      <formula>0</formula>
      <formula>0</formula>
    </cfRule>
  </conditionalFormatting>
  <conditionalFormatting sqref="D13:P42 D43:H43 L43:P44 D44:G44 D45:P47">
    <cfRule type="containsErrors" dxfId="5" priority="8">
      <formula>ISERROR(D13)</formula>
    </cfRule>
  </conditionalFormatting>
  <conditionalFormatting sqref="G48:G50">
    <cfRule type="containsErrors" dxfId="4" priority="3">
      <formula>ISERROR(G48)</formula>
    </cfRule>
  </conditionalFormatting>
  <conditionalFormatting sqref="J46:L46">
    <cfRule type="containsText" dxfId="3" priority="6" operator="containsText" text="FALSCH">
      <formula>NOT(ISERROR(SEARCH("FALSCH",J46)))</formula>
    </cfRule>
  </conditionalFormatting>
  <conditionalFormatting sqref="K6">
    <cfRule type="cellIs" dxfId="2" priority="7" operator="between">
      <formula>0</formula>
      <formula>0</formula>
    </cfRule>
  </conditionalFormatting>
  <conditionalFormatting sqref="M48:N50">
    <cfRule type="containsErrors" dxfId="1" priority="2">
      <formula>ISERROR(M48)</formula>
    </cfRule>
  </conditionalFormatting>
  <conditionalFormatting sqref="R47:R50">
    <cfRule type="containsErrors" dxfId="0" priority="1">
      <formula>ISERROR(R47)</formula>
    </cfRule>
  </conditionalFormatting>
  <pageMargins left="0.70866141732283472" right="0.70866141732283472" top="0.78740157480314965" bottom="0.78740157480314965" header="0.31496062992125984" footer="0.31496062992125984"/>
  <pageSetup paperSize="9" scale="67" orientation="landscape"/>
  <headerFooter>
    <oddHeader>&amp;C&amp;9&amp;A</oddHeader>
    <oddFooter>&amp;L&amp;8Version:&amp;K000000 19.10.2026&amp;C&amp;8Verhandlungsunterlagen SGB XI (vereinfacht B_KZP)&amp;R&amp;8PSK-Beschluss vom 08.10.2026</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62"/>
  <sheetViews>
    <sheetView zoomScaleNormal="100" workbookViewId="0">
      <selection activeCell="B5" sqref="B5"/>
    </sheetView>
  </sheetViews>
  <sheetFormatPr baseColWidth="10" defaultColWidth="10" defaultRowHeight="14.25" x14ac:dyDescent="0.2"/>
  <cols>
    <col min="1" max="3" width="10" style="322"/>
    <col min="4" max="4" width="10.125" style="322" customWidth="1"/>
    <col min="5" max="5" width="2.875" style="322" customWidth="1"/>
    <col min="6" max="6" width="2" style="322" customWidth="1"/>
    <col min="7" max="7" width="10.625" style="322" customWidth="1"/>
    <col min="8" max="8" width="10" style="322"/>
    <col min="9" max="9" width="18" style="322" customWidth="1"/>
    <col min="10" max="14" width="10" style="322" customWidth="1"/>
    <col min="15" max="16384" width="10" style="322"/>
  </cols>
  <sheetData>
    <row r="1" spans="1:19" x14ac:dyDescent="0.2">
      <c r="A1" s="1264" t="s">
        <v>113</v>
      </c>
      <c r="B1" s="1265"/>
      <c r="C1" s="1265"/>
      <c r="D1" s="1265"/>
      <c r="E1" s="1265"/>
      <c r="F1" s="1265"/>
      <c r="G1" s="1265"/>
      <c r="H1" s="1265"/>
      <c r="I1" s="1266"/>
      <c r="J1" s="331"/>
    </row>
    <row r="2" spans="1:19" x14ac:dyDescent="0.2">
      <c r="A2" s="1267"/>
      <c r="B2" s="1268"/>
      <c r="C2" s="1268"/>
      <c r="D2" s="1268"/>
      <c r="E2" s="1268"/>
      <c r="F2" s="1268"/>
      <c r="G2" s="1268"/>
      <c r="H2" s="1268"/>
      <c r="I2" s="1269"/>
      <c r="J2" s="335"/>
    </row>
    <row r="3" spans="1:19" x14ac:dyDescent="0.2">
      <c r="A3" s="1267"/>
      <c r="B3" s="1268"/>
      <c r="C3" s="1268"/>
      <c r="D3" s="1268"/>
      <c r="E3" s="1268"/>
      <c r="F3" s="1268"/>
      <c r="G3" s="1268"/>
      <c r="H3" s="1268"/>
      <c r="I3" s="1269"/>
      <c r="J3" s="336"/>
    </row>
    <row r="4" spans="1:19" x14ac:dyDescent="0.2">
      <c r="A4" s="1270"/>
      <c r="B4" s="1271"/>
      <c r="C4" s="1271"/>
      <c r="D4" s="1271"/>
      <c r="E4" s="1271"/>
      <c r="F4" s="1271"/>
      <c r="G4" s="1271"/>
      <c r="H4" s="1271"/>
      <c r="I4" s="1272"/>
    </row>
    <row r="5" spans="1:19" x14ac:dyDescent="0.2">
      <c r="A5" s="323" t="s">
        <v>114</v>
      </c>
      <c r="I5" s="324"/>
      <c r="J5" s="323"/>
    </row>
    <row r="6" spans="1:19" x14ac:dyDescent="0.2">
      <c r="A6" s="141" t="s">
        <v>347</v>
      </c>
      <c r="I6" s="324"/>
      <c r="J6" s="323"/>
      <c r="K6" s="325"/>
      <c r="L6" s="325"/>
      <c r="M6" s="325"/>
      <c r="N6" s="325"/>
      <c r="O6" s="325"/>
      <c r="P6" s="325"/>
      <c r="Q6" s="325"/>
      <c r="R6" s="325"/>
      <c r="S6" s="325"/>
    </row>
    <row r="7" spans="1:19" x14ac:dyDescent="0.2">
      <c r="A7" s="141" t="s">
        <v>348</v>
      </c>
      <c r="E7" s="518" t="str">
        <f>IF('B_KZP_Allgemeine Angaben'!K63&gt;5,"x","")</f>
        <v/>
      </c>
      <c r="G7" s="90"/>
      <c r="I7" s="324"/>
      <c r="J7" s="323"/>
    </row>
    <row r="8" spans="1:19" x14ac:dyDescent="0.2">
      <c r="A8" s="928" t="s">
        <v>349</v>
      </c>
      <c r="I8" s="324"/>
      <c r="J8" s="323"/>
    </row>
    <row r="9" spans="1:19" x14ac:dyDescent="0.2">
      <c r="A9" s="323" t="s">
        <v>115</v>
      </c>
      <c r="G9" s="512" t="s">
        <v>278</v>
      </c>
      <c r="I9" s="324"/>
      <c r="J9" s="323"/>
    </row>
    <row r="10" spans="1:19" x14ac:dyDescent="0.2">
      <c r="A10" s="323" t="s">
        <v>116</v>
      </c>
      <c r="I10" s="324"/>
      <c r="J10" s="323"/>
    </row>
    <row r="11" spans="1:19" x14ac:dyDescent="0.2">
      <c r="A11" s="323"/>
      <c r="I11" s="324"/>
      <c r="J11" s="323"/>
    </row>
    <row r="12" spans="1:19" x14ac:dyDescent="0.2">
      <c r="A12" s="323" t="s">
        <v>117</v>
      </c>
      <c r="E12" s="518" t="str">
        <f>IF('B_KZP_Allgemeine Angaben'!K66&gt;5,"x","")</f>
        <v/>
      </c>
      <c r="G12" s="422" t="s">
        <v>337</v>
      </c>
      <c r="I12" s="324"/>
    </row>
    <row r="13" spans="1:19" x14ac:dyDescent="0.2">
      <c r="A13" s="323" t="s">
        <v>118</v>
      </c>
      <c r="I13" s="324"/>
    </row>
    <row r="14" spans="1:19" x14ac:dyDescent="0.2">
      <c r="A14" s="323" t="s">
        <v>119</v>
      </c>
      <c r="I14" s="324"/>
    </row>
    <row r="15" spans="1:19" x14ac:dyDescent="0.2">
      <c r="A15" s="323"/>
      <c r="I15" s="324"/>
    </row>
    <row r="16" spans="1:19" x14ac:dyDescent="0.2">
      <c r="A16" s="323" t="s">
        <v>120</v>
      </c>
      <c r="E16" s="518" t="str">
        <f>IF('B_KZP_Allgemeine Angaben'!K67&gt;5,"x","")</f>
        <v/>
      </c>
      <c r="G16" s="422" t="s">
        <v>338</v>
      </c>
      <c r="I16" s="324"/>
    </row>
    <row r="17" spans="1:10" x14ac:dyDescent="0.2">
      <c r="A17" s="323" t="s">
        <v>121</v>
      </c>
      <c r="I17" s="324"/>
    </row>
    <row r="18" spans="1:10" x14ac:dyDescent="0.2">
      <c r="A18" s="323" t="s">
        <v>122</v>
      </c>
      <c r="I18" s="324"/>
    </row>
    <row r="19" spans="1:10" x14ac:dyDescent="0.2">
      <c r="A19" s="323" t="s">
        <v>123</v>
      </c>
      <c r="I19" s="324"/>
    </row>
    <row r="20" spans="1:10" x14ac:dyDescent="0.2">
      <c r="A20" s="323"/>
      <c r="I20" s="324"/>
    </row>
    <row r="21" spans="1:10" x14ac:dyDescent="0.2">
      <c r="A21" s="323" t="s">
        <v>124</v>
      </c>
      <c r="E21" s="518" t="str">
        <f>IF('B_KZP_Allgemeine Angaben'!K71&gt;5,"x","")</f>
        <v/>
      </c>
      <c r="G21" s="90" t="s">
        <v>144</v>
      </c>
      <c r="I21" s="324"/>
      <c r="J21" s="91"/>
    </row>
    <row r="22" spans="1:10" x14ac:dyDescent="0.2">
      <c r="A22" s="323" t="s">
        <v>142</v>
      </c>
      <c r="I22" s="324"/>
      <c r="J22" s="172"/>
    </row>
    <row r="23" spans="1:10" x14ac:dyDescent="0.2">
      <c r="A23" s="141" t="s">
        <v>143</v>
      </c>
      <c r="I23" s="324"/>
      <c r="J23" s="172"/>
    </row>
    <row r="24" spans="1:10" x14ac:dyDescent="0.2">
      <c r="A24" s="323"/>
      <c r="I24" s="324"/>
    </row>
    <row r="25" spans="1:10" x14ac:dyDescent="0.2">
      <c r="A25" s="327" t="s">
        <v>125</v>
      </c>
      <c r="I25" s="324"/>
    </row>
    <row r="26" spans="1:10" x14ac:dyDescent="0.2">
      <c r="A26" s="323"/>
      <c r="I26" s="324"/>
    </row>
    <row r="27" spans="1:10" x14ac:dyDescent="0.2">
      <c r="A27" s="323" t="s">
        <v>126</v>
      </c>
      <c r="E27" s="518" t="str">
        <f>IF('B_KZP_Allgemeine Angaben'!K65&gt;5,"x","")</f>
        <v/>
      </c>
      <c r="G27" s="422" t="s">
        <v>339</v>
      </c>
      <c r="I27" s="324"/>
    </row>
    <row r="28" spans="1:10" x14ac:dyDescent="0.2">
      <c r="A28" s="323" t="s">
        <v>127</v>
      </c>
      <c r="I28" s="324"/>
    </row>
    <row r="29" spans="1:10" x14ac:dyDescent="0.2">
      <c r="A29" s="323" t="s">
        <v>128</v>
      </c>
      <c r="I29" s="324"/>
    </row>
    <row r="30" spans="1:10" x14ac:dyDescent="0.2">
      <c r="A30" s="323" t="s">
        <v>129</v>
      </c>
      <c r="I30" s="324"/>
    </row>
    <row r="31" spans="1:10" x14ac:dyDescent="0.2">
      <c r="A31" s="323"/>
      <c r="I31" s="324"/>
    </row>
    <row r="32" spans="1:10" ht="18" x14ac:dyDescent="0.25">
      <c r="A32" s="327" t="s">
        <v>130</v>
      </c>
      <c r="D32" s="328"/>
      <c r="G32" s="349"/>
      <c r="I32" s="324"/>
      <c r="J32" s="336"/>
    </row>
    <row r="33" spans="1:9" x14ac:dyDescent="0.2">
      <c r="A33" s="323"/>
      <c r="G33" s="424"/>
      <c r="H33" s="424"/>
      <c r="I33" s="425"/>
    </row>
    <row r="34" spans="1:9" x14ac:dyDescent="0.2">
      <c r="A34" s="323" t="s">
        <v>131</v>
      </c>
      <c r="E34" s="518" t="str">
        <f>IF('B_KZP_Allgemeine Angaben'!K64&gt;5,"x","")</f>
        <v/>
      </c>
      <c r="G34" s="428" t="s">
        <v>298</v>
      </c>
      <c r="H34" s="424"/>
      <c r="I34" s="425"/>
    </row>
    <row r="35" spans="1:9" x14ac:dyDescent="0.2">
      <c r="A35" s="323" t="s">
        <v>132</v>
      </c>
      <c r="G35" s="424"/>
      <c r="H35" s="424"/>
      <c r="I35" s="425"/>
    </row>
    <row r="36" spans="1:9" x14ac:dyDescent="0.2">
      <c r="A36" s="323" t="s">
        <v>133</v>
      </c>
      <c r="G36" s="424"/>
      <c r="H36" s="424"/>
      <c r="I36" s="425"/>
    </row>
    <row r="37" spans="1:9" x14ac:dyDescent="0.2">
      <c r="A37" s="323"/>
      <c r="E37" s="335"/>
      <c r="F37" s="335"/>
      <c r="G37" s="511" t="s">
        <v>340</v>
      </c>
      <c r="H37" s="424"/>
      <c r="I37" s="425"/>
    </row>
    <row r="38" spans="1:9" x14ac:dyDescent="0.2">
      <c r="A38" s="323"/>
      <c r="I38" s="324"/>
    </row>
    <row r="39" spans="1:9" x14ac:dyDescent="0.2">
      <c r="A39" s="323" t="s">
        <v>299</v>
      </c>
      <c r="E39" s="518" t="str">
        <f>IF('B_KZP_Allgemeine Angaben'!K64&gt;5,"x","")</f>
        <v/>
      </c>
      <c r="G39" s="326" t="s">
        <v>342</v>
      </c>
      <c r="I39" s="324"/>
    </row>
    <row r="40" spans="1:9" x14ac:dyDescent="0.2">
      <c r="A40" s="323" t="s">
        <v>300</v>
      </c>
      <c r="G40" s="513"/>
      <c r="I40" s="324"/>
    </row>
    <row r="41" spans="1:9" x14ac:dyDescent="0.2">
      <c r="A41" s="323" t="s">
        <v>301</v>
      </c>
      <c r="G41" s="513"/>
      <c r="I41" s="324"/>
    </row>
    <row r="42" spans="1:9" x14ac:dyDescent="0.2">
      <c r="A42" s="323" t="s">
        <v>302</v>
      </c>
      <c r="I42" s="324"/>
    </row>
    <row r="43" spans="1:9" x14ac:dyDescent="0.2">
      <c r="A43" s="323"/>
      <c r="I43" s="324"/>
    </row>
    <row r="44" spans="1:9" x14ac:dyDescent="0.2">
      <c r="A44" s="423" t="s">
        <v>303</v>
      </c>
      <c r="B44" s="514"/>
      <c r="C44" s="515"/>
      <c r="I44" s="324"/>
    </row>
    <row r="45" spans="1:9" x14ac:dyDescent="0.2">
      <c r="A45" s="516" t="s">
        <v>304</v>
      </c>
      <c r="B45" s="424"/>
      <c r="C45" s="425"/>
      <c r="I45" s="324"/>
    </row>
    <row r="46" spans="1:9" x14ac:dyDescent="0.2">
      <c r="A46" s="516" t="s">
        <v>138</v>
      </c>
      <c r="B46" s="424"/>
      <c r="C46" s="425"/>
      <c r="I46" s="324"/>
    </row>
    <row r="47" spans="1:9" x14ac:dyDescent="0.2">
      <c r="A47" s="516" t="s">
        <v>134</v>
      </c>
      <c r="B47" s="424"/>
      <c r="C47" s="425"/>
      <c r="I47" s="324"/>
    </row>
    <row r="48" spans="1:9" x14ac:dyDescent="0.2">
      <c r="A48" s="516" t="s">
        <v>135</v>
      </c>
      <c r="B48" s="424"/>
      <c r="C48" s="425"/>
      <c r="I48" s="324"/>
    </row>
    <row r="49" spans="1:9" x14ac:dyDescent="0.2">
      <c r="A49" s="516" t="s">
        <v>139</v>
      </c>
      <c r="B49" s="424"/>
      <c r="C49" s="425"/>
      <c r="I49" s="324"/>
    </row>
    <row r="50" spans="1:9" x14ac:dyDescent="0.2">
      <c r="A50" s="517" t="s">
        <v>140</v>
      </c>
      <c r="B50" s="426"/>
      <c r="C50" s="427"/>
      <c r="I50" s="324"/>
    </row>
    <row r="51" spans="1:9" x14ac:dyDescent="0.2">
      <c r="A51" s="323"/>
      <c r="I51" s="324"/>
    </row>
    <row r="52" spans="1:9" x14ac:dyDescent="0.2">
      <c r="A52" s="323"/>
      <c r="G52" s="331"/>
      <c r="H52" s="331"/>
      <c r="I52" s="332"/>
    </row>
    <row r="53" spans="1:9" x14ac:dyDescent="0.2">
      <c r="A53" s="1273" t="s">
        <v>136</v>
      </c>
      <c r="B53" s="1066"/>
      <c r="C53" s="1066"/>
      <c r="E53" s="519" t="str">
        <f>IF('B_KZP_Allgemeine Angaben'!K68&gt;5,"x","")</f>
        <v/>
      </c>
      <c r="G53" s="422" t="s">
        <v>341</v>
      </c>
      <c r="I53" s="324"/>
    </row>
    <row r="54" spans="1:9" x14ac:dyDescent="0.2">
      <c r="A54" s="323" t="s">
        <v>137</v>
      </c>
      <c r="I54" s="324"/>
    </row>
    <row r="55" spans="1:9" x14ac:dyDescent="0.2">
      <c r="A55" s="141" t="s">
        <v>289</v>
      </c>
      <c r="I55" s="324"/>
    </row>
    <row r="56" spans="1:9" x14ac:dyDescent="0.2">
      <c r="A56" s="141" t="s">
        <v>290</v>
      </c>
      <c r="I56" s="324"/>
    </row>
    <row r="57" spans="1:9" x14ac:dyDescent="0.2">
      <c r="A57" s="323"/>
      <c r="D57" s="83"/>
      <c r="E57" s="83"/>
      <c r="F57" s="83"/>
      <c r="G57" s="83"/>
      <c r="I57" s="324"/>
    </row>
    <row r="58" spans="1:9" ht="59.25" hidden="1" x14ac:dyDescent="0.75">
      <c r="A58" s="323"/>
      <c r="D58" s="83"/>
      <c r="E58" s="83"/>
      <c r="F58" s="83"/>
      <c r="G58" s="83"/>
      <c r="I58" s="333"/>
    </row>
    <row r="59" spans="1:9" x14ac:dyDescent="0.2">
      <c r="A59" s="327"/>
      <c r="B59" s="331"/>
      <c r="C59" s="331"/>
      <c r="D59" s="84"/>
      <c r="E59" s="85"/>
      <c r="F59" s="83"/>
      <c r="G59" s="86"/>
      <c r="I59" s="324"/>
    </row>
    <row r="60" spans="1:9" x14ac:dyDescent="0.2">
      <c r="A60" s="323"/>
      <c r="D60" s="83"/>
      <c r="E60" s="83"/>
      <c r="F60" s="83"/>
      <c r="G60" s="83"/>
      <c r="I60" s="324"/>
    </row>
    <row r="61" spans="1:9" x14ac:dyDescent="0.2">
      <c r="A61" s="323"/>
      <c r="I61" s="324"/>
    </row>
    <row r="62" spans="1:9" x14ac:dyDescent="0.2">
      <c r="A62" s="334"/>
      <c r="B62" s="329"/>
      <c r="C62" s="329"/>
      <c r="D62" s="329"/>
      <c r="E62" s="329"/>
      <c r="F62" s="329"/>
      <c r="G62" s="329"/>
      <c r="H62" s="329"/>
      <c r="I62" s="330"/>
    </row>
  </sheetData>
  <sheetProtection algorithmName="SHA-512" hashValue="Kpeukvq26d9lb7OIk/oGvs2NdwIs148dLJKgMgbUEIZC/PKqgjgzX8QgqNud847xb1rYtr8g9XBogVtTpEmNpA==" saltValue="WbwCwISv2njYO4DortXobA==" spinCount="100000" sheet="1" objects="1" scenarios="1"/>
  <customSheetViews>
    <customSheetView guid="{9119B1A0-FD79-4FE4-B78E-10E0AEB8080B}" showPageBreaks="1" printArea="1" hiddenRows="1" view="pageLayout" topLeftCell="A41">
      <selection activeCell="I49" sqref="I49"/>
      <pageMargins left="0.70866141732283472" right="0.70866141732283472" top="0.78740157480314965" bottom="0.78740157480314965" header="0.31496062992125984" footer="0.31496062992125984"/>
      <pageSetup paperSize="9" orientation="portrait" r:id="rId1"/>
      <headerFooter>
        <oddFooter>&amp;L&amp;8Version: 21.06.2022&amp;C&amp;8Verhandlungsunterlagen SGB XI (vereinfacht B1)&amp;R&amp;8PSK-Beschluss Nr. 3-2022 vom 21.06.2022</oddFooter>
      </headerFooter>
    </customSheetView>
  </customSheetViews>
  <mergeCells count="2">
    <mergeCell ref="A1:I4"/>
    <mergeCell ref="A53:C53"/>
  </mergeCells>
  <hyperlinks>
    <hyperlink ref="G21" r:id="rId2" xr:uid="{4E5647D8-C4EA-4B37-8EDF-4C20EE2D71CC}"/>
    <hyperlink ref="G9" r:id="rId3" xr:uid="{C452A84D-12B9-4CE2-B9CD-578595740D8F}"/>
    <hyperlink ref="G34" r:id="rId4" xr:uid="{F9FCBECE-DBDB-498E-A487-781523F3DED6}"/>
    <hyperlink ref="G39" r:id="rId5" display="mailto:pflegesatzverhandlungen_sachsen@barmer.de" xr:uid="{DD393DF0-F14A-4D79-90A4-D4D069DEA104}"/>
    <hyperlink ref="G12" r:id="rId6" xr:uid="{5342B9E9-0ED2-44E7-8D4F-F6CFE4FF107F}"/>
    <hyperlink ref="G16" r:id="rId7" xr:uid="{FD07BEC5-490D-464A-BB85-E8C6BDEBCC47}"/>
    <hyperlink ref="G27" r:id="rId8" xr:uid="{82BA44AB-E2AE-4A1E-8C43-76F017C534D1}"/>
    <hyperlink ref="G53" r:id="rId9" xr:uid="{D107163E-5E29-499F-82C1-BFB4585D0DF5}"/>
  </hyperlinks>
  <pageMargins left="0.70866141732283472" right="0.70866141732283472" top="0.78740157480314965" bottom="0.78740157480314965" header="0.31496062992125984" footer="0.31496062992125984"/>
  <pageSetup paperSize="9" scale="86" orientation="portrait"/>
  <headerFooter>
    <oddHeader>&amp;C&amp;A</oddHeader>
    <oddFooter>&amp;L&amp;8Version: 19.10.2026&amp;C&amp;8Verhandlungsunterlagen SGB XI (vereinfacht B_KZP)&amp;R&amp;8PSK-Beschluss vom 08.10.2026</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12</vt:i4>
      </vt:variant>
    </vt:vector>
  </HeadingPairs>
  <TitlesOfParts>
    <vt:vector size="23" baseType="lpstr">
      <vt:lpstr>B_KZP_Versionsinfo</vt:lpstr>
      <vt:lpstr>Verknüpfungstabelle</vt:lpstr>
      <vt:lpstr>KAT</vt:lpstr>
      <vt:lpstr>B_KZP_Hinweise</vt:lpstr>
      <vt:lpstr>B_KZP_Allgemeine Angaben</vt:lpstr>
      <vt:lpstr>B_KZP_Kalkulation</vt:lpstr>
      <vt:lpstr>B_KZP_Berechnung rüE</vt:lpstr>
      <vt:lpstr>B_KZP_Bewohnervertretung</vt:lpstr>
      <vt:lpstr>B_KZP_Ergebnis</vt:lpstr>
      <vt:lpstr>B_KZP_Gesamtkalkulation</vt:lpstr>
      <vt:lpstr>Adressverzeichnis</vt:lpstr>
      <vt:lpstr>B_KZP_Hinweise!_Hlk233720930</vt:lpstr>
      <vt:lpstr>Adressverzeichnis!Druckbereich</vt:lpstr>
      <vt:lpstr>'B_KZP_Allgemeine Angaben'!Druckbereich</vt:lpstr>
      <vt:lpstr>'B_KZP_Berechnung rüE'!Druckbereich</vt:lpstr>
      <vt:lpstr>B_KZP_Bewohnervertretung!Druckbereich</vt:lpstr>
      <vt:lpstr>B_KZP_Ergebnis!Druckbereich</vt:lpstr>
      <vt:lpstr>B_KZP_Gesamtkalkulation!Druckbereich</vt:lpstr>
      <vt:lpstr>B_KZP_Hinweise!Druckbereich</vt:lpstr>
      <vt:lpstr>B_KZP_Kalkulation!Druckbereich</vt:lpstr>
      <vt:lpstr>B_KZP_Versionsinfo!Druckbereich</vt:lpstr>
      <vt:lpstr>KAT!Druckbereich</vt:lpstr>
      <vt:lpstr>B_KZP_Versionsinfo!Drucktitel</vt:lpstr>
    </vt:vector>
  </TitlesOfParts>
  <Company>AOK PLUS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Vereinfachtes Antragsverfahren für Kurzzeitpflegeeinrichtungen 2027</dc:title>
  <dc:creator>AOK PLUS - Die Gesundheitskasse für Sachsen und Thüringen</dc:creator>
  <cp:lastPrinted>2026-10-22T07:33:04Z</cp:lastPrinted>
  <dcterms:created xsi:type="dcterms:W3CDTF">2012-08-21T12:23:19Z</dcterms:created>
  <dcterms:modified xsi:type="dcterms:W3CDTF">2026-10-22T11:32:45Z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4f72c9e-ff9b-4d29-a8be-f698af1f1989_Enabled">
    <vt:lpwstr>true</vt:lpwstr>
  </property>
  <property fmtid="{D5CDD505-2E9C-101B-9397-08002B2CF9AE}" pid="3" name="MSIP_Label_94f72c9e-ff9b-4d29-a8be-f698af1f1989_SetDate">
    <vt:lpwstr>2024-11-22T11:14:06Z</vt:lpwstr>
  </property>
  <property fmtid="{D5CDD505-2E9C-101B-9397-08002B2CF9AE}" pid="4" name="MSIP_Label_94f72c9e-ff9b-4d29-a8be-f698af1f1989_Method">
    <vt:lpwstr>Privileged</vt:lpwstr>
  </property>
  <property fmtid="{D5CDD505-2E9C-101B-9397-08002B2CF9AE}" pid="5" name="MSIP_Label_94f72c9e-ff9b-4d29-a8be-f698af1f1989_Name">
    <vt:lpwstr>öffentlich</vt:lpwstr>
  </property>
  <property fmtid="{D5CDD505-2E9C-101B-9397-08002B2CF9AE}" pid="6" name="MSIP_Label_94f72c9e-ff9b-4d29-a8be-f698af1f1989_SiteId">
    <vt:lpwstr>f5342d95-aa7e-460f-b3ed-51b1514dd06a</vt:lpwstr>
  </property>
  <property fmtid="{D5CDD505-2E9C-101B-9397-08002B2CF9AE}" pid="7" name="MSIP_Label_94f72c9e-ff9b-4d29-a8be-f698af1f1989_ActionId">
    <vt:lpwstr>62a6db6f-4340-4304-b499-5a96d73e69a0</vt:lpwstr>
  </property>
  <property fmtid="{D5CDD505-2E9C-101B-9397-08002B2CF9AE}" pid="8" name="MSIP_Label_94f72c9e-ff9b-4d29-a8be-f698af1f1989_ContentBits">
    <vt:lpwstr>2</vt:lpwstr>
  </property>
</Properties>
</file>