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R:\V\PHKP\VM\_SON\ANALYST_ARBEITSORDNER\ANALYST_VM_SAC\Sonstiges\Antragsunterlagen_2019\"/>
    </mc:Choice>
  </mc:AlternateContent>
  <bookViews>
    <workbookView xWindow="1530" yWindow="5865" windowWidth="20730" windowHeight="11640" tabRatio="783"/>
  </bookViews>
  <sheets>
    <sheet name="Allgemeine Angaben" sheetId="1" r:id="rId1"/>
    <sheet name="Belegung" sheetId="2" r:id="rId2"/>
    <sheet name="Personalkostenaufstellung" sheetId="14" r:id="rId3"/>
    <sheet name="Personalaufwendungen" sheetId="3" r:id="rId4"/>
    <sheet name="Sachaufwendungen" sheetId="4" r:id="rId5"/>
    <sheet name="Forderung" sheetId="6" r:id="rId6"/>
    <sheet name="Gesamtkalkulation" sheetId="7" r:id="rId7"/>
    <sheet name="Bewohnervertretung" sheetId="8" r:id="rId8"/>
    <sheet name="Allgemeine Hinweise" sheetId="15" r:id="rId9"/>
    <sheet name="Hinweise Sachaufwendungen" sheetId="11" r:id="rId10"/>
    <sheet name="Adressverzeichnis" sheetId="12" r:id="rId11"/>
    <sheet name="Versionsinfo" sheetId="16" state="hidden" r:id="rId12"/>
    <sheet name="KAT" sheetId="9" state="hidden" r:id="rId13"/>
  </sheets>
  <definedNames>
    <definedName name="divisor">Belegung!$E$20</definedName>
    <definedName name="_xlnm.Print_Area" localSheetId="10">Adressverzeichnis!$A$1:$I$52</definedName>
    <definedName name="_xlnm.Print_Area" localSheetId="0">'Allgemeine Angaben'!$A$1:$N$76</definedName>
    <definedName name="_xlnm.Print_Area" localSheetId="1">Belegung!$A$1:$H$66</definedName>
    <definedName name="_xlnm.Print_Area" localSheetId="7">Bewohnervertretung!$A$1:$N$64</definedName>
    <definedName name="_xlnm.Print_Area" localSheetId="5">Forderung!$A$1:$M$76</definedName>
    <definedName name="_xlnm.Print_Area" localSheetId="6">Gesamtkalkulation!$A$1:$W$55</definedName>
    <definedName name="_xlnm.Print_Area" localSheetId="9">'Hinweise Sachaufwendungen'!$A$1:$C$84</definedName>
    <definedName name="_xlnm.Print_Area" localSheetId="3">Personalaufwendungen!$A$1:$K$69</definedName>
    <definedName name="_xlnm.Print_Area" localSheetId="2">Personalkostenaufstellung!$A$1:$O$385</definedName>
    <definedName name="_xlnm.Print_Area" localSheetId="4">Sachaufwendungen!$A$1:$P$66</definedName>
    <definedName name="_xlnm.Print_Titles" localSheetId="9">'Hinweise Sachaufwendungen'!$1:$1</definedName>
    <definedName name="eeadivisor">Gesamtkalkulation!$F$11</definedName>
    <definedName name="pnk">Personalaufwendungen!$I$55</definedName>
    <definedName name="risiko">Personalaufwendungen!$I$59</definedName>
  </definedNames>
  <calcPr calcId="162913"/>
</workbook>
</file>

<file path=xl/calcChain.xml><?xml version="1.0" encoding="utf-8"?>
<calcChain xmlns="http://schemas.openxmlformats.org/spreadsheetml/2006/main">
  <c r="I62" i="3" l="1"/>
  <c r="F7" i="1"/>
  <c r="E14" i="3" s="1"/>
  <c r="C58" i="3"/>
  <c r="N22" i="14"/>
  <c r="N23" i="14"/>
  <c r="F21" i="14"/>
  <c r="N21" i="14"/>
  <c r="N24" i="14"/>
  <c r="N25" i="14"/>
  <c r="N26" i="14"/>
  <c r="N27" i="14"/>
  <c r="N28" i="14"/>
  <c r="N29" i="14"/>
  <c r="N30" i="14"/>
  <c r="N31" i="14"/>
  <c r="N32" i="14"/>
  <c r="N33" i="14"/>
  <c r="N34" i="14"/>
  <c r="N35" i="14"/>
  <c r="N36" i="14"/>
  <c r="N37" i="14"/>
  <c r="N38" i="14"/>
  <c r="N39" i="14"/>
  <c r="N40" i="14"/>
  <c r="N41" i="14"/>
  <c r="N42" i="14"/>
  <c r="N43" i="14"/>
  <c r="N44" i="14"/>
  <c r="N45" i="14"/>
  <c r="N46" i="14"/>
  <c r="N47" i="14"/>
  <c r="N48" i="14"/>
  <c r="N49" i="14"/>
  <c r="N50" i="14"/>
  <c r="N51" i="14"/>
  <c r="N52" i="14"/>
  <c r="N53" i="14"/>
  <c r="N54" i="14"/>
  <c r="N55" i="14"/>
  <c r="N56" i="14"/>
  <c r="N57" i="14"/>
  <c r="N58" i="14"/>
  <c r="N59" i="14"/>
  <c r="N60" i="14"/>
  <c r="N61" i="14"/>
  <c r="N62" i="14"/>
  <c r="N63" i="14"/>
  <c r="N64" i="14"/>
  <c r="N65" i="14"/>
  <c r="N66" i="14"/>
  <c r="N67" i="14"/>
  <c r="N68" i="14"/>
  <c r="N69" i="14"/>
  <c r="N70" i="14"/>
  <c r="N71" i="14"/>
  <c r="N72" i="14"/>
  <c r="N73" i="14"/>
  <c r="N74" i="14"/>
  <c r="N75" i="14"/>
  <c r="N76" i="14"/>
  <c r="N77" i="14"/>
  <c r="N78" i="14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3" i="14"/>
  <c r="N104" i="14"/>
  <c r="N105" i="14"/>
  <c r="N106" i="14"/>
  <c r="N107" i="14"/>
  <c r="N108" i="14"/>
  <c r="N109" i="14"/>
  <c r="N110" i="14"/>
  <c r="N111" i="14"/>
  <c r="N112" i="14"/>
  <c r="N113" i="14"/>
  <c r="N114" i="14"/>
  <c r="N115" i="14"/>
  <c r="N121" i="14"/>
  <c r="B121" i="14"/>
  <c r="O121" i="14"/>
  <c r="I11" i="3"/>
  <c r="F124" i="14"/>
  <c r="N124" i="14"/>
  <c r="N125" i="14"/>
  <c r="N126" i="14"/>
  <c r="N127" i="14"/>
  <c r="N128" i="14"/>
  <c r="N129" i="14"/>
  <c r="N130" i="14"/>
  <c r="N131" i="14"/>
  <c r="N132" i="14"/>
  <c r="N133" i="14"/>
  <c r="N134" i="14"/>
  <c r="N135" i="14"/>
  <c r="N136" i="14"/>
  <c r="N137" i="14"/>
  <c r="N138" i="14"/>
  <c r="N139" i="14"/>
  <c r="N140" i="14"/>
  <c r="N141" i="14"/>
  <c r="N142" i="14"/>
  <c r="N143" i="14"/>
  <c r="N144" i="14"/>
  <c r="N145" i="14"/>
  <c r="N146" i="14"/>
  <c r="N147" i="14"/>
  <c r="N148" i="14"/>
  <c r="N149" i="14"/>
  <c r="N150" i="14"/>
  <c r="N151" i="14"/>
  <c r="N152" i="14"/>
  <c r="N153" i="14"/>
  <c r="N154" i="14"/>
  <c r="N155" i="14"/>
  <c r="N156" i="14"/>
  <c r="N157" i="14"/>
  <c r="N158" i="14"/>
  <c r="N159" i="14"/>
  <c r="N160" i="14"/>
  <c r="N161" i="14"/>
  <c r="N162" i="14"/>
  <c r="N163" i="14"/>
  <c r="N164" i="14"/>
  <c r="N165" i="14"/>
  <c r="N166" i="14"/>
  <c r="N167" i="14"/>
  <c r="N168" i="14"/>
  <c r="N169" i="14"/>
  <c r="N170" i="14"/>
  <c r="N171" i="14"/>
  <c r="N172" i="14"/>
  <c r="N173" i="14"/>
  <c r="N174" i="14"/>
  <c r="N175" i="14"/>
  <c r="N176" i="14"/>
  <c r="N177" i="14"/>
  <c r="N178" i="14"/>
  <c r="N179" i="14"/>
  <c r="N180" i="14"/>
  <c r="N181" i="14"/>
  <c r="N182" i="14"/>
  <c r="N183" i="14"/>
  <c r="N184" i="14"/>
  <c r="N185" i="14"/>
  <c r="N186" i="14"/>
  <c r="N187" i="14"/>
  <c r="N188" i="14"/>
  <c r="N189" i="14"/>
  <c r="N190" i="14"/>
  <c r="N191" i="14"/>
  <c r="N192" i="14"/>
  <c r="N193" i="14"/>
  <c r="N194" i="14"/>
  <c r="N195" i="14"/>
  <c r="N196" i="14"/>
  <c r="N197" i="14"/>
  <c r="N198" i="14"/>
  <c r="N199" i="14"/>
  <c r="N200" i="14"/>
  <c r="N201" i="14"/>
  <c r="N202" i="14"/>
  <c r="N203" i="14"/>
  <c r="N204" i="14"/>
  <c r="N205" i="14"/>
  <c r="N206" i="14"/>
  <c r="N207" i="14"/>
  <c r="N208" i="14"/>
  <c r="N209" i="14"/>
  <c r="N210" i="14"/>
  <c r="N211" i="14"/>
  <c r="N212" i="14"/>
  <c r="N213" i="14"/>
  <c r="N214" i="14"/>
  <c r="N215" i="14"/>
  <c r="N216" i="14"/>
  <c r="N217" i="14"/>
  <c r="N218" i="14"/>
  <c r="N219" i="14"/>
  <c r="N220" i="14"/>
  <c r="N221" i="14"/>
  <c r="N222" i="14"/>
  <c r="N223" i="14"/>
  <c r="N224" i="14"/>
  <c r="B224" i="14"/>
  <c r="O224" i="14"/>
  <c r="I14" i="3"/>
  <c r="H17" i="3"/>
  <c r="I17" i="3"/>
  <c r="F230" i="14"/>
  <c r="N230" i="14"/>
  <c r="N231" i="14"/>
  <c r="N232" i="14"/>
  <c r="N233" i="14"/>
  <c r="N234" i="14"/>
  <c r="N235" i="14"/>
  <c r="N236" i="14"/>
  <c r="N237" i="14"/>
  <c r="N238" i="14"/>
  <c r="N239" i="14"/>
  <c r="N240" i="14"/>
  <c r="N241" i="14"/>
  <c r="N242" i="14"/>
  <c r="N243" i="14"/>
  <c r="N244" i="14"/>
  <c r="N245" i="14"/>
  <c r="B245" i="14"/>
  <c r="O245" i="14"/>
  <c r="I26" i="3"/>
  <c r="F249" i="14"/>
  <c r="N249" i="14"/>
  <c r="N250" i="14"/>
  <c r="N251" i="14"/>
  <c r="N252" i="14"/>
  <c r="N253" i="14"/>
  <c r="N254" i="14"/>
  <c r="N255" i="14"/>
  <c r="N256" i="14"/>
  <c r="N257" i="14"/>
  <c r="N258" i="14"/>
  <c r="N259" i="14"/>
  <c r="N260" i="14"/>
  <c r="N261" i="14"/>
  <c r="N262" i="14"/>
  <c r="N263" i="14"/>
  <c r="N264" i="14"/>
  <c r="N265" i="14"/>
  <c r="N266" i="14"/>
  <c r="N267" i="14"/>
  <c r="N268" i="14"/>
  <c r="N269" i="14"/>
  <c r="N270" i="14"/>
  <c r="N271" i="14"/>
  <c r="N272" i="14"/>
  <c r="N273" i="14"/>
  <c r="N274" i="14"/>
  <c r="B274" i="14"/>
  <c r="O274" i="14"/>
  <c r="I29" i="3"/>
  <c r="F277" i="14"/>
  <c r="N277" i="14"/>
  <c r="N278" i="14"/>
  <c r="N279" i="14"/>
  <c r="N280" i="14"/>
  <c r="N281" i="14"/>
  <c r="N282" i="14"/>
  <c r="N283" i="14"/>
  <c r="N284" i="14"/>
  <c r="N285" i="14"/>
  <c r="N286" i="14"/>
  <c r="N287" i="14"/>
  <c r="N288" i="14"/>
  <c r="N289" i="14"/>
  <c r="N290" i="14"/>
  <c r="N291" i="14"/>
  <c r="N292" i="14"/>
  <c r="N293" i="14"/>
  <c r="N294" i="14"/>
  <c r="N295" i="14"/>
  <c r="N296" i="14"/>
  <c r="N297" i="14"/>
  <c r="B297" i="14"/>
  <c r="O297" i="14"/>
  <c r="I34" i="3"/>
  <c r="F300" i="14"/>
  <c r="N300" i="14"/>
  <c r="N301" i="14"/>
  <c r="N302" i="14"/>
  <c r="N303" i="14"/>
  <c r="N304" i="14"/>
  <c r="N305" i="14"/>
  <c r="N306" i="14"/>
  <c r="N307" i="14"/>
  <c r="N308" i="14"/>
  <c r="N309" i="14"/>
  <c r="N310" i="14"/>
  <c r="N311" i="14"/>
  <c r="N312" i="14"/>
  <c r="N313" i="14"/>
  <c r="N314" i="14"/>
  <c r="N315" i="14"/>
  <c r="N316" i="14"/>
  <c r="N317" i="14"/>
  <c r="N318" i="14"/>
  <c r="N319" i="14"/>
  <c r="N320" i="14"/>
  <c r="N321" i="14"/>
  <c r="N322" i="14"/>
  <c r="N323" i="14"/>
  <c r="N324" i="14"/>
  <c r="N325" i="14"/>
  <c r="N326" i="14"/>
  <c r="N327" i="14"/>
  <c r="N328" i="14"/>
  <c r="N329" i="14"/>
  <c r="N330" i="14"/>
  <c r="B330" i="14"/>
  <c r="O330" i="14"/>
  <c r="I39" i="3"/>
  <c r="F333" i="14"/>
  <c r="N333" i="14"/>
  <c r="N334" i="14"/>
  <c r="N335" i="14"/>
  <c r="N336" i="14"/>
  <c r="N337" i="14"/>
  <c r="N338" i="14"/>
  <c r="N339" i="14"/>
  <c r="N340" i="14"/>
  <c r="N341" i="14"/>
  <c r="N342" i="14"/>
  <c r="N343" i="14"/>
  <c r="N344" i="14"/>
  <c r="N345" i="14"/>
  <c r="N346" i="14"/>
  <c r="N347" i="14"/>
  <c r="N348" i="14"/>
  <c r="N349" i="14"/>
  <c r="N350" i="14"/>
  <c r="N351" i="14"/>
  <c r="N352" i="14"/>
  <c r="N353" i="14"/>
  <c r="N354" i="14"/>
  <c r="N355" i="14"/>
  <c r="N356" i="14"/>
  <c r="N357" i="14"/>
  <c r="N358" i="14"/>
  <c r="N359" i="14"/>
  <c r="N360" i="14"/>
  <c r="N361" i="14"/>
  <c r="N362" i="14"/>
  <c r="N363" i="14"/>
  <c r="B363" i="14"/>
  <c r="O363" i="14"/>
  <c r="I41" i="3"/>
  <c r="F366" i="14"/>
  <c r="N366" i="14"/>
  <c r="N367" i="14"/>
  <c r="N368" i="14"/>
  <c r="N369" i="14"/>
  <c r="N370" i="14"/>
  <c r="N371" i="14"/>
  <c r="N372" i="14"/>
  <c r="N373" i="14"/>
  <c r="N374" i="14"/>
  <c r="N375" i="14"/>
  <c r="N376" i="14"/>
  <c r="B376" i="14"/>
  <c r="O376" i="14"/>
  <c r="I43" i="3"/>
  <c r="H26" i="3"/>
  <c r="H34" i="3"/>
  <c r="H39" i="3"/>
  <c r="I47" i="3"/>
  <c r="J59" i="3"/>
  <c r="J55" i="3"/>
  <c r="I55" i="3"/>
  <c r="I57" i="3"/>
  <c r="D17" i="7"/>
  <c r="D18" i="7"/>
  <c r="D20" i="7"/>
  <c r="D21" i="7"/>
  <c r="D22" i="7"/>
  <c r="D23" i="7"/>
  <c r="D16" i="7"/>
  <c r="D19" i="7"/>
  <c r="J17" i="3"/>
  <c r="J26" i="3"/>
  <c r="J29" i="3"/>
  <c r="J34" i="3"/>
  <c r="J39" i="3"/>
  <c r="J41" i="3"/>
  <c r="J43" i="3"/>
  <c r="J47" i="3"/>
  <c r="B32" i="9"/>
  <c r="C32" i="9"/>
  <c r="D32" i="9"/>
  <c r="B33" i="9"/>
  <c r="C33" i="9"/>
  <c r="D33" i="9"/>
  <c r="B34" i="9"/>
  <c r="C34" i="9"/>
  <c r="D34" i="9"/>
  <c r="B35" i="9"/>
  <c r="C35" i="9"/>
  <c r="D35" i="9"/>
  <c r="B36" i="9"/>
  <c r="C36" i="9"/>
  <c r="D36" i="9"/>
  <c r="D37" i="9"/>
  <c r="E33" i="9"/>
  <c r="E34" i="9"/>
  <c r="E35" i="9"/>
  <c r="E36" i="9"/>
  <c r="E32" i="9"/>
  <c r="B37" i="9"/>
  <c r="D38" i="9"/>
  <c r="D39" i="9"/>
  <c r="D17" i="2"/>
  <c r="H65" i="3"/>
  <c r="H63" i="3"/>
  <c r="H35" i="3"/>
  <c r="B14" i="6"/>
  <c r="B12" i="6"/>
  <c r="B10" i="6"/>
  <c r="J19" i="6"/>
  <c r="O137" i="14"/>
  <c r="O148" i="14"/>
  <c r="O149" i="14"/>
  <c r="O160" i="14"/>
  <c r="O161" i="14"/>
  <c r="O172" i="14"/>
  <c r="O173" i="14"/>
  <c r="O184" i="14"/>
  <c r="O185" i="14"/>
  <c r="O196" i="14"/>
  <c r="O197" i="14"/>
  <c r="O208" i="14"/>
  <c r="O209" i="14"/>
  <c r="O221" i="14"/>
  <c r="O333" i="14"/>
  <c r="J21" i="6"/>
  <c r="F121" i="14"/>
  <c r="H224" i="14"/>
  <c r="F231" i="14"/>
  <c r="O231" i="14"/>
  <c r="L245" i="14"/>
  <c r="K274" i="14"/>
  <c r="F297" i="14"/>
  <c r="O300" i="14"/>
  <c r="M330" i="14"/>
  <c r="H42" i="3"/>
  <c r="H44" i="3"/>
  <c r="Q84" i="6"/>
  <c r="Q85" i="6"/>
  <c r="Q86" i="6"/>
  <c r="Q87" i="6"/>
  <c r="Q89" i="6"/>
  <c r="Q83" i="6"/>
  <c r="O84" i="6"/>
  <c r="O85" i="6"/>
  <c r="O86" i="6"/>
  <c r="O87" i="6"/>
  <c r="O89" i="6"/>
  <c r="O83" i="6"/>
  <c r="L5" i="1"/>
  <c r="C59" i="4"/>
  <c r="C58" i="4"/>
  <c r="E24" i="4"/>
  <c r="E22" i="4"/>
  <c r="F20" i="4"/>
  <c r="E20" i="4"/>
  <c r="F18" i="4"/>
  <c r="F16" i="4"/>
  <c r="F14" i="4"/>
  <c r="F12" i="4"/>
  <c r="E18" i="4"/>
  <c r="E16" i="4"/>
  <c r="E14" i="4"/>
  <c r="E12" i="4"/>
  <c r="E10" i="4"/>
  <c r="H49" i="1"/>
  <c r="F367" i="14"/>
  <c r="F368" i="14"/>
  <c r="F369" i="14"/>
  <c r="F370" i="14"/>
  <c r="F371" i="14"/>
  <c r="F372" i="14"/>
  <c r="F373" i="14"/>
  <c r="F374" i="14"/>
  <c r="F375" i="14"/>
  <c r="F334" i="14"/>
  <c r="F335" i="14"/>
  <c r="F336" i="14"/>
  <c r="F337" i="14"/>
  <c r="F338" i="14"/>
  <c r="F339" i="14"/>
  <c r="F340" i="14"/>
  <c r="F341" i="14"/>
  <c r="F342" i="14"/>
  <c r="F343" i="14"/>
  <c r="F344" i="14"/>
  <c r="F345" i="14"/>
  <c r="F346" i="14"/>
  <c r="F347" i="14"/>
  <c r="F348" i="14"/>
  <c r="F349" i="14"/>
  <c r="F350" i="14"/>
  <c r="F351" i="14"/>
  <c r="F352" i="14"/>
  <c r="F353" i="14"/>
  <c r="F354" i="14"/>
  <c r="F355" i="14"/>
  <c r="F356" i="14"/>
  <c r="F357" i="14"/>
  <c r="F358" i="14"/>
  <c r="F359" i="14"/>
  <c r="F360" i="14"/>
  <c r="F361" i="14"/>
  <c r="F362" i="14"/>
  <c r="F301" i="14"/>
  <c r="F302" i="14"/>
  <c r="F303" i="14"/>
  <c r="F304" i="14"/>
  <c r="F305" i="14"/>
  <c r="F306" i="14"/>
  <c r="F307" i="14"/>
  <c r="F308" i="14"/>
  <c r="F309" i="14"/>
  <c r="F310" i="14"/>
  <c r="F311" i="14"/>
  <c r="F312" i="14"/>
  <c r="F313" i="14"/>
  <c r="F314" i="14"/>
  <c r="F315" i="14"/>
  <c r="F316" i="14"/>
  <c r="F317" i="14"/>
  <c r="F318" i="14"/>
  <c r="F319" i="14"/>
  <c r="F320" i="14"/>
  <c r="F321" i="14"/>
  <c r="F322" i="14"/>
  <c r="F323" i="14"/>
  <c r="F324" i="14"/>
  <c r="F325" i="14"/>
  <c r="F326" i="14"/>
  <c r="F327" i="14"/>
  <c r="F328" i="14"/>
  <c r="F329" i="14"/>
  <c r="F278" i="14"/>
  <c r="F279" i="14"/>
  <c r="F280" i="14"/>
  <c r="F281" i="14"/>
  <c r="F282" i="14"/>
  <c r="F283" i="14"/>
  <c r="F284" i="14"/>
  <c r="F285" i="14"/>
  <c r="F286" i="14"/>
  <c r="F287" i="14"/>
  <c r="F288" i="14"/>
  <c r="F289" i="14"/>
  <c r="F290" i="14"/>
  <c r="F291" i="14"/>
  <c r="F292" i="14"/>
  <c r="F293" i="14"/>
  <c r="F294" i="14"/>
  <c r="F295" i="14"/>
  <c r="F296" i="14"/>
  <c r="F250" i="14"/>
  <c r="F251" i="14"/>
  <c r="F252" i="14"/>
  <c r="F253" i="14"/>
  <c r="F254" i="14"/>
  <c r="F255" i="14"/>
  <c r="F256" i="14"/>
  <c r="F257" i="14"/>
  <c r="F258" i="14"/>
  <c r="F259" i="14"/>
  <c r="F260" i="14"/>
  <c r="F261" i="14"/>
  <c r="F262" i="14"/>
  <c r="F263" i="14"/>
  <c r="F264" i="14"/>
  <c r="F265" i="14"/>
  <c r="F266" i="14"/>
  <c r="F267" i="14"/>
  <c r="F268" i="14"/>
  <c r="F269" i="14"/>
  <c r="F270" i="14"/>
  <c r="F271" i="14"/>
  <c r="F272" i="14"/>
  <c r="F273" i="14"/>
  <c r="F232" i="14"/>
  <c r="O232" i="14"/>
  <c r="F233" i="14"/>
  <c r="O233" i="14"/>
  <c r="F234" i="14"/>
  <c r="O234" i="14"/>
  <c r="F235" i="14"/>
  <c r="O235" i="14"/>
  <c r="F236" i="14"/>
  <c r="O236" i="14"/>
  <c r="F237" i="14"/>
  <c r="O237" i="14"/>
  <c r="F238" i="14"/>
  <c r="O238" i="14"/>
  <c r="F239" i="14"/>
  <c r="O239" i="14"/>
  <c r="F240" i="14"/>
  <c r="O240" i="14"/>
  <c r="F241" i="14"/>
  <c r="O241" i="14"/>
  <c r="F242" i="14"/>
  <c r="O242" i="14"/>
  <c r="F243" i="14"/>
  <c r="O243" i="14"/>
  <c r="F244" i="14"/>
  <c r="O244" i="14"/>
  <c r="F125" i="14"/>
  <c r="F126" i="14"/>
  <c r="O126" i="14"/>
  <c r="F127" i="14"/>
  <c r="O127" i="14"/>
  <c r="F128" i="14"/>
  <c r="O128" i="14"/>
  <c r="F129" i="14"/>
  <c r="O129" i="14"/>
  <c r="F130" i="14"/>
  <c r="O130" i="14"/>
  <c r="F131" i="14"/>
  <c r="O131" i="14"/>
  <c r="F132" i="14"/>
  <c r="O132" i="14"/>
  <c r="F133" i="14"/>
  <c r="O133" i="14"/>
  <c r="F134" i="14"/>
  <c r="O134" i="14"/>
  <c r="F135" i="14"/>
  <c r="F136" i="14"/>
  <c r="F137" i="14"/>
  <c r="F138" i="14"/>
  <c r="O138" i="14"/>
  <c r="F139" i="14"/>
  <c r="O139" i="14"/>
  <c r="F140" i="14"/>
  <c r="O140" i="14"/>
  <c r="F141" i="14"/>
  <c r="O141" i="14"/>
  <c r="F142" i="14"/>
  <c r="O142" i="14"/>
  <c r="F143" i="14"/>
  <c r="O143" i="14"/>
  <c r="F144" i="14"/>
  <c r="O144" i="14"/>
  <c r="F145" i="14"/>
  <c r="O145" i="14"/>
  <c r="F146" i="14"/>
  <c r="O146" i="14"/>
  <c r="F147" i="14"/>
  <c r="O147" i="14"/>
  <c r="F148" i="14"/>
  <c r="F149" i="14"/>
  <c r="F150" i="14"/>
  <c r="O150" i="14"/>
  <c r="F151" i="14"/>
  <c r="O151" i="14"/>
  <c r="F152" i="14"/>
  <c r="O152" i="14"/>
  <c r="F153" i="14"/>
  <c r="O153" i="14"/>
  <c r="F154" i="14"/>
  <c r="O154" i="14"/>
  <c r="F155" i="14"/>
  <c r="O155" i="14"/>
  <c r="F156" i="14"/>
  <c r="O156" i="14"/>
  <c r="F157" i="14"/>
  <c r="O157" i="14"/>
  <c r="F158" i="14"/>
  <c r="O158" i="14"/>
  <c r="F159" i="14"/>
  <c r="O159" i="14"/>
  <c r="F160" i="14"/>
  <c r="F161" i="14"/>
  <c r="F162" i="14"/>
  <c r="O162" i="14"/>
  <c r="F163" i="14"/>
  <c r="O163" i="14"/>
  <c r="F164" i="14"/>
  <c r="O164" i="14"/>
  <c r="F165" i="14"/>
  <c r="O165" i="14"/>
  <c r="F166" i="14"/>
  <c r="O166" i="14"/>
  <c r="F167" i="14"/>
  <c r="O167" i="14"/>
  <c r="F168" i="14"/>
  <c r="O168" i="14"/>
  <c r="F169" i="14"/>
  <c r="O169" i="14"/>
  <c r="F170" i="14"/>
  <c r="O170" i="14"/>
  <c r="F171" i="14"/>
  <c r="O171" i="14"/>
  <c r="F172" i="14"/>
  <c r="F173" i="14"/>
  <c r="F174" i="14"/>
  <c r="O174" i="14"/>
  <c r="F175" i="14"/>
  <c r="O175" i="14"/>
  <c r="F176" i="14"/>
  <c r="O176" i="14"/>
  <c r="F177" i="14"/>
  <c r="O177" i="14"/>
  <c r="F178" i="14"/>
  <c r="O178" i="14"/>
  <c r="F179" i="14"/>
  <c r="O179" i="14"/>
  <c r="F180" i="14"/>
  <c r="O180" i="14"/>
  <c r="F181" i="14"/>
  <c r="O181" i="14"/>
  <c r="F182" i="14"/>
  <c r="O182" i="14"/>
  <c r="F183" i="14"/>
  <c r="O183" i="14"/>
  <c r="F184" i="14"/>
  <c r="F185" i="14"/>
  <c r="F186" i="14"/>
  <c r="O186" i="14"/>
  <c r="F187" i="14"/>
  <c r="O187" i="14"/>
  <c r="F188" i="14"/>
  <c r="O188" i="14"/>
  <c r="F189" i="14"/>
  <c r="O189" i="14"/>
  <c r="F190" i="14"/>
  <c r="O190" i="14"/>
  <c r="F191" i="14"/>
  <c r="O191" i="14"/>
  <c r="F192" i="14"/>
  <c r="O192" i="14"/>
  <c r="F193" i="14"/>
  <c r="O193" i="14"/>
  <c r="F194" i="14"/>
  <c r="O194" i="14"/>
  <c r="F195" i="14"/>
  <c r="O195" i="14"/>
  <c r="F196" i="14"/>
  <c r="F197" i="14"/>
  <c r="F198" i="14"/>
  <c r="O198" i="14"/>
  <c r="F199" i="14"/>
  <c r="O199" i="14"/>
  <c r="F200" i="14"/>
  <c r="O200" i="14"/>
  <c r="F201" i="14"/>
  <c r="O201" i="14"/>
  <c r="F202" i="14"/>
  <c r="O202" i="14"/>
  <c r="F203" i="14"/>
  <c r="O203" i="14"/>
  <c r="F204" i="14"/>
  <c r="O204" i="14"/>
  <c r="F205" i="14"/>
  <c r="O205" i="14"/>
  <c r="F206" i="14"/>
  <c r="O206" i="14"/>
  <c r="F207" i="14"/>
  <c r="O207" i="14"/>
  <c r="F208" i="14"/>
  <c r="F209" i="14"/>
  <c r="F210" i="14"/>
  <c r="O210" i="14"/>
  <c r="F211" i="14"/>
  <c r="O211" i="14"/>
  <c r="F212" i="14"/>
  <c r="O212" i="14"/>
  <c r="F213" i="14"/>
  <c r="O213" i="14"/>
  <c r="F214" i="14"/>
  <c r="O214" i="14"/>
  <c r="F215" i="14"/>
  <c r="O215" i="14"/>
  <c r="F216" i="14"/>
  <c r="O216" i="14"/>
  <c r="F217" i="14"/>
  <c r="O217" i="14"/>
  <c r="F218" i="14"/>
  <c r="F224" i="14"/>
  <c r="F219" i="14"/>
  <c r="O219" i="14"/>
  <c r="F220" i="14"/>
  <c r="O220" i="14"/>
  <c r="F221" i="14"/>
  <c r="F222" i="14"/>
  <c r="O222" i="14"/>
  <c r="F223" i="14"/>
  <c r="O223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3" i="14"/>
  <c r="F94" i="14"/>
  <c r="F95" i="14"/>
  <c r="F96" i="14"/>
  <c r="F97" i="14"/>
  <c r="F98" i="14"/>
  <c r="F99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22" i="14"/>
  <c r="O22" i="14"/>
  <c r="F23" i="14"/>
  <c r="O23" i="14"/>
  <c r="F24" i="14"/>
  <c r="F25" i="14"/>
  <c r="F26" i="14"/>
  <c r="F27" i="14"/>
  <c r="M4" i="8"/>
  <c r="L4" i="8"/>
  <c r="P4" i="7"/>
  <c r="N4" i="7"/>
  <c r="I4" i="6"/>
  <c r="K4" i="6"/>
  <c r="L4" i="4"/>
  <c r="J4" i="4"/>
  <c r="J4" i="3"/>
  <c r="I4" i="3"/>
  <c r="A4" i="3"/>
  <c r="K5" i="14"/>
  <c r="J5" i="14"/>
  <c r="E4" i="2"/>
  <c r="F4" i="2"/>
  <c r="B4" i="1"/>
  <c r="B4" i="6" s="1"/>
  <c r="B4" i="8"/>
  <c r="B22" i="9"/>
  <c r="F22" i="9"/>
  <c r="C23" i="9"/>
  <c r="O367" i="14"/>
  <c r="O368" i="14"/>
  <c r="O369" i="14"/>
  <c r="O370" i="14"/>
  <c r="O371" i="14"/>
  <c r="O372" i="14"/>
  <c r="O373" i="14"/>
  <c r="O374" i="14"/>
  <c r="O375" i="14"/>
  <c r="O334" i="14"/>
  <c r="O335" i="14"/>
  <c r="O336" i="14"/>
  <c r="O337" i="14"/>
  <c r="O338" i="14"/>
  <c r="O339" i="14"/>
  <c r="O340" i="14"/>
  <c r="O341" i="14"/>
  <c r="O342" i="14"/>
  <c r="O343" i="14"/>
  <c r="O344" i="14"/>
  <c r="O345" i="14"/>
  <c r="O346" i="14"/>
  <c r="O347" i="14"/>
  <c r="O348" i="14"/>
  <c r="O349" i="14"/>
  <c r="O351" i="14"/>
  <c r="O352" i="14"/>
  <c r="O353" i="14"/>
  <c r="O354" i="14"/>
  <c r="O355" i="14"/>
  <c r="O356" i="14"/>
  <c r="O357" i="14"/>
  <c r="O358" i="14"/>
  <c r="O359" i="14"/>
  <c r="O360" i="14"/>
  <c r="O361" i="14"/>
  <c r="O362" i="14"/>
  <c r="O302" i="14"/>
  <c r="O303" i="14"/>
  <c r="O304" i="14"/>
  <c r="O305" i="14"/>
  <c r="O306" i="14"/>
  <c r="O307" i="14"/>
  <c r="O308" i="14"/>
  <c r="O309" i="14"/>
  <c r="O310" i="14"/>
  <c r="O311" i="14"/>
  <c r="O312" i="14"/>
  <c r="O313" i="14"/>
  <c r="O314" i="14"/>
  <c r="O315" i="14"/>
  <c r="O316" i="14"/>
  <c r="O317" i="14"/>
  <c r="O318" i="14"/>
  <c r="O319" i="14"/>
  <c r="O320" i="14"/>
  <c r="O321" i="14"/>
  <c r="O322" i="14"/>
  <c r="O323" i="14"/>
  <c r="O324" i="14"/>
  <c r="O325" i="14"/>
  <c r="O326" i="14"/>
  <c r="O327" i="14"/>
  <c r="O329" i="14"/>
  <c r="O278" i="14"/>
  <c r="O279" i="14"/>
  <c r="O280" i="14"/>
  <c r="O281" i="14"/>
  <c r="O282" i="14"/>
  <c r="O283" i="14"/>
  <c r="O284" i="14"/>
  <c r="O285" i="14"/>
  <c r="O286" i="14"/>
  <c r="O288" i="14"/>
  <c r="O289" i="14"/>
  <c r="O290" i="14"/>
  <c r="O291" i="14"/>
  <c r="O292" i="14"/>
  <c r="O294" i="14"/>
  <c r="O295" i="14"/>
  <c r="O296" i="14"/>
  <c r="O250" i="14"/>
  <c r="O251" i="14"/>
  <c r="O252" i="14"/>
  <c r="O253" i="14"/>
  <c r="O254" i="14"/>
  <c r="O255" i="14"/>
  <c r="O256" i="14"/>
  <c r="O257" i="14"/>
  <c r="O258" i="14"/>
  <c r="O259" i="14"/>
  <c r="O260" i="14"/>
  <c r="O261" i="14"/>
  <c r="O262" i="14"/>
  <c r="O264" i="14"/>
  <c r="O265" i="14"/>
  <c r="O266" i="14"/>
  <c r="O267" i="14"/>
  <c r="O268" i="14"/>
  <c r="O269" i="14"/>
  <c r="O270" i="14"/>
  <c r="O271" i="14"/>
  <c r="O272" i="14"/>
  <c r="O273" i="14"/>
  <c r="O125" i="14"/>
  <c r="O136" i="14"/>
  <c r="O24" i="14"/>
  <c r="O25" i="14"/>
  <c r="O26" i="14"/>
  <c r="O27" i="14"/>
  <c r="O28" i="14"/>
  <c r="O30" i="14"/>
  <c r="O31" i="14"/>
  <c r="O32" i="14"/>
  <c r="O33" i="14"/>
  <c r="O34" i="14"/>
  <c r="O36" i="14"/>
  <c r="O37" i="14"/>
  <c r="O38" i="14"/>
  <c r="O39" i="14"/>
  <c r="O40" i="14"/>
  <c r="O41" i="14"/>
  <c r="O42" i="14"/>
  <c r="O43" i="14"/>
  <c r="O44" i="14"/>
  <c r="O45" i="14"/>
  <c r="O46" i="14"/>
  <c r="O48" i="14"/>
  <c r="O49" i="14"/>
  <c r="O50" i="14"/>
  <c r="O51" i="14"/>
  <c r="O52" i="14"/>
  <c r="O54" i="14"/>
  <c r="O55" i="14"/>
  <c r="O57" i="14"/>
  <c r="O58" i="14"/>
  <c r="O59" i="14"/>
  <c r="O60" i="14"/>
  <c r="O61" i="14"/>
  <c r="O62" i="14"/>
  <c r="O63" i="14"/>
  <c r="O64" i="14"/>
  <c r="O66" i="14"/>
  <c r="O67" i="14"/>
  <c r="O68" i="14"/>
  <c r="O69" i="14"/>
  <c r="O70" i="14"/>
  <c r="O71" i="14"/>
  <c r="O72" i="14"/>
  <c r="O73" i="14"/>
  <c r="O74" i="14"/>
  <c r="O75" i="14"/>
  <c r="O76" i="14"/>
  <c r="O77" i="14"/>
  <c r="O78" i="14"/>
  <c r="O79" i="14"/>
  <c r="O80" i="14"/>
  <c r="O81" i="14"/>
  <c r="O82" i="14"/>
  <c r="O83" i="14"/>
  <c r="O84" i="14"/>
  <c r="O85" i="14"/>
  <c r="O86" i="14"/>
  <c r="O87" i="14"/>
  <c r="O88" i="14"/>
  <c r="O90" i="14"/>
  <c r="O91" i="14"/>
  <c r="O93" i="14"/>
  <c r="O94" i="14"/>
  <c r="O95" i="14"/>
  <c r="O97" i="14"/>
  <c r="O98" i="14"/>
  <c r="O99" i="14"/>
  <c r="O100" i="14"/>
  <c r="O101" i="14"/>
  <c r="O102" i="14"/>
  <c r="O103" i="14"/>
  <c r="O104" i="14"/>
  <c r="O105" i="14"/>
  <c r="O106" i="14"/>
  <c r="O107" i="14"/>
  <c r="O109" i="14"/>
  <c r="O110" i="14"/>
  <c r="O111" i="14"/>
  <c r="O112" i="14"/>
  <c r="O113" i="14"/>
  <c r="O115" i="14"/>
  <c r="C17" i="7"/>
  <c r="C45" i="7"/>
  <c r="R59" i="6"/>
  <c r="Q62" i="6" s="1"/>
  <c r="L19" i="6" s="1"/>
  <c r="B20" i="6" s="1"/>
  <c r="D7" i="1"/>
  <c r="J10" i="7"/>
  <c r="L6" i="7"/>
  <c r="J11" i="7"/>
  <c r="L10" i="7"/>
  <c r="N10" i="7"/>
  <c r="P10" i="7"/>
  <c r="P11" i="7"/>
  <c r="E32" i="2"/>
  <c r="L8" i="7"/>
  <c r="N8" i="7" s="1"/>
  <c r="V19" i="7" s="1"/>
  <c r="V52" i="7" s="1"/>
  <c r="J58" i="6" s="1"/>
  <c r="D3" i="14"/>
  <c r="D4" i="14"/>
  <c r="D5" i="14"/>
  <c r="H365" i="14"/>
  <c r="H332" i="14"/>
  <c r="H299" i="14"/>
  <c r="H276" i="14"/>
  <c r="H248" i="14"/>
  <c r="H229" i="14"/>
  <c r="H20" i="14"/>
  <c r="H123" i="14"/>
  <c r="B24" i="6"/>
  <c r="B18" i="6"/>
  <c r="B16" i="6"/>
  <c r="L23" i="6"/>
  <c r="J6" i="7"/>
  <c r="E20" i="2"/>
  <c r="M42" i="4" s="1"/>
  <c r="L59" i="4"/>
  <c r="L52" i="4"/>
  <c r="D39" i="7"/>
  <c r="L34" i="4"/>
  <c r="D28" i="7"/>
  <c r="L33" i="4"/>
  <c r="L35" i="4"/>
  <c r="L36" i="4"/>
  <c r="L37" i="4"/>
  <c r="L38" i="4"/>
  <c r="L39" i="4"/>
  <c r="D33" i="7"/>
  <c r="L40" i="4"/>
  <c r="L41" i="4"/>
  <c r="L42" i="4"/>
  <c r="L11" i="7"/>
  <c r="N11" i="7"/>
  <c r="O36" i="6"/>
  <c r="O37" i="6"/>
  <c r="O35" i="6"/>
  <c r="O38" i="6"/>
  <c r="O39" i="6"/>
  <c r="O44" i="6"/>
  <c r="P44" i="6"/>
  <c r="L53" i="4"/>
  <c r="D40" i="7"/>
  <c r="L54" i="4"/>
  <c r="D41" i="7"/>
  <c r="L55" i="4"/>
  <c r="D42" i="7"/>
  <c r="L56" i="4"/>
  <c r="D43" i="7"/>
  <c r="L57" i="4"/>
  <c r="D44" i="7"/>
  <c r="Q44" i="7"/>
  <c r="L58" i="4"/>
  <c r="H10" i="7"/>
  <c r="H11" i="7"/>
  <c r="D27" i="7"/>
  <c r="S27" i="7"/>
  <c r="D29" i="7"/>
  <c r="Q29" i="7"/>
  <c r="D30" i="7"/>
  <c r="D31" i="7"/>
  <c r="D32" i="7"/>
  <c r="B45" i="7"/>
  <c r="G60" i="4"/>
  <c r="J60" i="4"/>
  <c r="K297" i="14"/>
  <c r="L363" i="14"/>
  <c r="G376" i="14"/>
  <c r="P6" i="7"/>
  <c r="J54" i="7"/>
  <c r="L47" i="6"/>
  <c r="T22" i="6"/>
  <c r="Q68" i="6"/>
  <c r="L36" i="6"/>
  <c r="I64" i="3"/>
  <c r="D24" i="7"/>
  <c r="Q24" i="7"/>
  <c r="R24" i="7"/>
  <c r="G224" i="14"/>
  <c r="O35" i="14"/>
  <c r="O47" i="14"/>
  <c r="O117" i="14"/>
  <c r="O118" i="14"/>
  <c r="O119" i="14"/>
  <c r="O120" i="14"/>
  <c r="O350" i="14"/>
  <c r="O301" i="14"/>
  <c r="O287" i="14"/>
  <c r="O263" i="14"/>
  <c r="O89" i="14"/>
  <c r="O92" i="14"/>
  <c r="O96" i="14"/>
  <c r="O29" i="14"/>
  <c r="O53" i="14"/>
  <c r="O56" i="14"/>
  <c r="O65" i="14"/>
  <c r="I60" i="3"/>
  <c r="K62" i="1"/>
  <c r="J64" i="4"/>
  <c r="L30" i="6"/>
  <c r="N380" i="14"/>
  <c r="N381" i="14"/>
  <c r="L382" i="14"/>
  <c r="F32" i="2"/>
  <c r="L40" i="6"/>
  <c r="S54" i="7"/>
  <c r="Q54" i="7"/>
  <c r="O54" i="7"/>
  <c r="M54" i="7"/>
  <c r="K54" i="7"/>
  <c r="I54" i="7"/>
  <c r="G54" i="7"/>
  <c r="C54" i="7"/>
  <c r="O328" i="14"/>
  <c r="O116" i="14"/>
  <c r="O108" i="14"/>
  <c r="K376" i="14"/>
  <c r="O293" i="14"/>
  <c r="I363" i="14"/>
  <c r="J43" i="4"/>
  <c r="C53" i="2"/>
  <c r="E53" i="2"/>
  <c r="D53" i="2"/>
  <c r="D44" i="2"/>
  <c r="E44" i="2"/>
  <c r="C44" i="2"/>
  <c r="O9" i="6"/>
  <c r="K10" i="6"/>
  <c r="K12" i="6"/>
  <c r="K14" i="6"/>
  <c r="K16" i="6"/>
  <c r="O17" i="6"/>
  <c r="O15" i="6"/>
  <c r="O13" i="6"/>
  <c r="O11" i="6"/>
  <c r="O19" i="6"/>
  <c r="T27" i="6"/>
  <c r="V26" i="6"/>
  <c r="U26" i="6"/>
  <c r="T26" i="6"/>
  <c r="U27" i="6"/>
  <c r="V27" i="6"/>
  <c r="V22" i="6"/>
  <c r="U22" i="6"/>
  <c r="S22" i="6"/>
  <c r="D6" i="7"/>
  <c r="D6" i="2"/>
  <c r="C46" i="7"/>
  <c r="D24" i="2"/>
  <c r="L34" i="6"/>
  <c r="L32" i="6"/>
  <c r="G39" i="3"/>
  <c r="G26" i="3"/>
  <c r="G17" i="3"/>
  <c r="G19" i="3"/>
  <c r="A1" i="3"/>
  <c r="B46" i="7"/>
  <c r="B44" i="7"/>
  <c r="B43" i="7"/>
  <c r="B42" i="7"/>
  <c r="B41" i="7"/>
  <c r="B40" i="7"/>
  <c r="B39" i="7"/>
  <c r="C43" i="7"/>
  <c r="C42" i="7"/>
  <c r="C41" i="7"/>
  <c r="C40" i="7"/>
  <c r="C39" i="7"/>
  <c r="C36" i="7"/>
  <c r="C35" i="7"/>
  <c r="C34" i="7"/>
  <c r="C33" i="7"/>
  <c r="C32" i="7"/>
  <c r="C31" i="7"/>
  <c r="C30" i="7"/>
  <c r="C29" i="7"/>
  <c r="C28" i="7"/>
  <c r="C27" i="7"/>
  <c r="C23" i="7"/>
  <c r="C22" i="7"/>
  <c r="C21" i="7"/>
  <c r="C20" i="7"/>
  <c r="C19" i="7"/>
  <c r="C18" i="7"/>
  <c r="A1" i="2"/>
  <c r="A1" i="7"/>
  <c r="L26" i="6"/>
  <c r="H30" i="3"/>
  <c r="A1" i="6"/>
  <c r="A1" i="4"/>
  <c r="G8" i="3"/>
  <c r="C32" i="2"/>
  <c r="E16" i="2"/>
  <c r="E24" i="2"/>
  <c r="F24" i="2"/>
  <c r="G43" i="4"/>
  <c r="G34" i="3"/>
  <c r="E34" i="2"/>
  <c r="D32" i="2"/>
  <c r="T54" i="7"/>
  <c r="L62" i="6" s="1"/>
  <c r="D10" i="1"/>
  <c r="A3" i="1"/>
  <c r="A3" i="3" s="1"/>
  <c r="C44" i="7"/>
  <c r="V54" i="7"/>
  <c r="L58" i="6"/>
  <c r="R54" i="7"/>
  <c r="L60" i="6"/>
  <c r="P54" i="7"/>
  <c r="L53" i="6" s="1"/>
  <c r="N54" i="7"/>
  <c r="L51" i="6" s="1"/>
  <c r="L54" i="7"/>
  <c r="L49" i="6" s="1"/>
  <c r="I24" i="3"/>
  <c r="H274" i="14"/>
  <c r="G7" i="2"/>
  <c r="M37" i="4"/>
  <c r="M33" i="4"/>
  <c r="C48" i="7"/>
  <c r="M36" i="4"/>
  <c r="M52" i="4"/>
  <c r="N6" i="7"/>
  <c r="I297" i="14"/>
  <c r="H297" i="14"/>
  <c r="K363" i="14"/>
  <c r="M274" i="14"/>
  <c r="M297" i="14"/>
  <c r="J297" i="14"/>
  <c r="H363" i="14"/>
  <c r="J363" i="14"/>
  <c r="J376" i="14"/>
  <c r="I376" i="14"/>
  <c r="F363" i="14"/>
  <c r="I245" i="14"/>
  <c r="H245" i="14"/>
  <c r="G363" i="14"/>
  <c r="M363" i="14"/>
  <c r="G245" i="14"/>
  <c r="H376" i="14"/>
  <c r="L297" i="14"/>
  <c r="O382" i="14"/>
  <c r="I224" i="14"/>
  <c r="M376" i="14"/>
  <c r="L376" i="14"/>
  <c r="M245" i="14"/>
  <c r="D45" i="7"/>
  <c r="R29" i="7"/>
  <c r="R26" i="7"/>
  <c r="M57" i="4"/>
  <c r="L63" i="4"/>
  <c r="Q31" i="7"/>
  <c r="M34" i="4"/>
  <c r="Q30" i="7"/>
  <c r="R30" i="7"/>
  <c r="A3" i="2"/>
  <c r="A3" i="4"/>
  <c r="Q45" i="7"/>
  <c r="C29" i="9"/>
  <c r="D29" i="9"/>
  <c r="E46" i="2"/>
  <c r="C28" i="9"/>
  <c r="D28" i="9"/>
  <c r="D46" i="2"/>
  <c r="C26" i="9"/>
  <c r="D26" i="9"/>
  <c r="E37" i="2"/>
  <c r="C25" i="9"/>
  <c r="D25" i="9"/>
  <c r="D37" i="2"/>
  <c r="C24" i="9"/>
  <c r="D24" i="9"/>
  <c r="C37" i="2"/>
  <c r="C27" i="9"/>
  <c r="D27" i="9"/>
  <c r="C46" i="2"/>
  <c r="G29" i="7"/>
  <c r="H29" i="7" s="1"/>
  <c r="A3" i="6"/>
  <c r="M35" i="4"/>
  <c r="R44" i="7"/>
  <c r="M41" i="4"/>
  <c r="M38" i="4"/>
  <c r="R45" i="7"/>
  <c r="R31" i="7"/>
  <c r="M59" i="4"/>
  <c r="T27" i="7"/>
  <c r="T26" i="7"/>
  <c r="T52" i="7" s="1"/>
  <c r="J62" i="6" s="1"/>
  <c r="S26" i="7"/>
  <c r="L43" i="4"/>
  <c r="M43" i="4"/>
  <c r="K32" i="7"/>
  <c r="L32" i="7"/>
  <c r="M39" i="4"/>
  <c r="Q33" i="7"/>
  <c r="R33" i="7"/>
  <c r="M40" i="4"/>
  <c r="K45" i="7"/>
  <c r="L45" i="7" s="1"/>
  <c r="D36" i="7"/>
  <c r="M56" i="4"/>
  <c r="D35" i="7"/>
  <c r="D26" i="7"/>
  <c r="M55" i="4"/>
  <c r="D34" i="7"/>
  <c r="M30" i="7"/>
  <c r="E30" i="7" s="1"/>
  <c r="N30" i="7"/>
  <c r="Q41" i="7"/>
  <c r="R41" i="7"/>
  <c r="K41" i="7"/>
  <c r="L41" i="7" s="1"/>
  <c r="Q40" i="7"/>
  <c r="R40" i="7"/>
  <c r="G40" i="7"/>
  <c r="H40" i="7" s="1"/>
  <c r="Q42" i="7"/>
  <c r="R42" i="7"/>
  <c r="R39" i="7"/>
  <c r="R38" i="7"/>
  <c r="G39" i="7"/>
  <c r="H39" i="7" s="1"/>
  <c r="H38" i="7" s="1"/>
  <c r="Q39" i="7"/>
  <c r="G43" i="7"/>
  <c r="H43" i="7" s="1"/>
  <c r="Q43" i="7"/>
  <c r="R43" i="7"/>
  <c r="L60" i="4"/>
  <c r="M60" i="4"/>
  <c r="D46" i="7"/>
  <c r="D38" i="7"/>
  <c r="M53" i="4"/>
  <c r="H40" i="3"/>
  <c r="H31" i="3"/>
  <c r="O114" i="14"/>
  <c r="G297" i="14"/>
  <c r="H27" i="3"/>
  <c r="K245" i="14"/>
  <c r="J245" i="14"/>
  <c r="J121" i="14"/>
  <c r="G121" i="14"/>
  <c r="M121" i="14"/>
  <c r="H121" i="14"/>
  <c r="I121" i="14"/>
  <c r="L121" i="14"/>
  <c r="K121" i="14"/>
  <c r="O135" i="14"/>
  <c r="K224" i="14"/>
  <c r="L224" i="14"/>
  <c r="M224" i="14"/>
  <c r="J224" i="14"/>
  <c r="O124" i="14"/>
  <c r="Q34" i="7"/>
  <c r="Q35" i="7"/>
  <c r="R35" i="7"/>
  <c r="G36" i="7"/>
  <c r="H36" i="7"/>
  <c r="K36" i="7"/>
  <c r="L36" i="7" s="1"/>
  <c r="Q36" i="7"/>
  <c r="R36" i="7"/>
  <c r="Q38" i="7"/>
  <c r="G46" i="7"/>
  <c r="H46" i="7"/>
  <c r="Q46" i="7"/>
  <c r="R46" i="7"/>
  <c r="K46" i="7"/>
  <c r="L46" i="7" s="1"/>
  <c r="R34" i="7"/>
  <c r="Q26" i="7"/>
  <c r="M24" i="7"/>
  <c r="N24" i="7" s="1"/>
  <c r="O366" i="14"/>
  <c r="F376" i="14"/>
  <c r="K330" i="14"/>
  <c r="H330" i="14"/>
  <c r="G330" i="14"/>
  <c r="I330" i="14"/>
  <c r="F330" i="14"/>
  <c r="L330" i="14"/>
  <c r="J330" i="14"/>
  <c r="F274" i="14"/>
  <c r="J274" i="14"/>
  <c r="O249" i="14"/>
  <c r="I274" i="14"/>
  <c r="G274" i="14"/>
  <c r="L274" i="14"/>
  <c r="O230" i="14"/>
  <c r="F245" i="14"/>
  <c r="L28" i="6"/>
  <c r="O21" i="14"/>
  <c r="N227" i="14"/>
  <c r="O218" i="14"/>
  <c r="B227" i="14"/>
  <c r="H20" i="3"/>
  <c r="F21" i="6"/>
  <c r="B21" i="6"/>
  <c r="H19" i="3"/>
  <c r="F22" i="6"/>
  <c r="O46" i="6"/>
  <c r="P46" i="6"/>
  <c r="R68" i="6"/>
  <c r="M45" i="7"/>
  <c r="N45" i="7" s="1"/>
  <c r="M44" i="7"/>
  <c r="N44" i="7" s="1"/>
  <c r="M41" i="7"/>
  <c r="N41" i="7" s="1"/>
  <c r="K24" i="7"/>
  <c r="L24" i="7" s="1"/>
  <c r="K49" i="7"/>
  <c r="L49" i="7"/>
  <c r="O28" i="7"/>
  <c r="P28" i="7" s="1"/>
  <c r="P26" i="7" s="1"/>
  <c r="O32" i="7"/>
  <c r="P32" i="7" s="1"/>
  <c r="O29" i="7"/>
  <c r="P29" i="7"/>
  <c r="O30" i="7"/>
  <c r="P30" i="7" s="1"/>
  <c r="O43" i="7"/>
  <c r="P43" i="7"/>
  <c r="O34" i="7"/>
  <c r="P34" i="7"/>
  <c r="O35" i="7"/>
  <c r="P35" i="7"/>
  <c r="O36" i="7"/>
  <c r="P36" i="7" s="1"/>
  <c r="O49" i="7"/>
  <c r="P49" i="7"/>
  <c r="O24" i="7"/>
  <c r="P24" i="7" s="1"/>
  <c r="O41" i="7"/>
  <c r="P41" i="7"/>
  <c r="O42" i="7"/>
  <c r="P42" i="7"/>
  <c r="O31" i="7"/>
  <c r="E31" i="7" s="1"/>
  <c r="P31" i="7"/>
  <c r="O33" i="7"/>
  <c r="P33" i="7" s="1"/>
  <c r="O40" i="7"/>
  <c r="P40" i="7"/>
  <c r="O45" i="7"/>
  <c r="P45" i="7" s="1"/>
  <c r="O39" i="7"/>
  <c r="O44" i="7"/>
  <c r="P44" i="7" s="1"/>
  <c r="O46" i="7"/>
  <c r="P46" i="7"/>
  <c r="M46" i="7"/>
  <c r="N46" i="7"/>
  <c r="M35" i="7"/>
  <c r="N35" i="7" s="1"/>
  <c r="M40" i="7"/>
  <c r="N40" i="7" s="1"/>
  <c r="M32" i="7"/>
  <c r="N32" i="7" s="1"/>
  <c r="M28" i="7"/>
  <c r="M49" i="7"/>
  <c r="N49" i="7"/>
  <c r="M36" i="7"/>
  <c r="N36" i="7"/>
  <c r="M29" i="7"/>
  <c r="N29" i="7" s="1"/>
  <c r="M31" i="7"/>
  <c r="N31" i="7"/>
  <c r="M34" i="7"/>
  <c r="N34" i="7" s="1"/>
  <c r="M43" i="7"/>
  <c r="N43" i="7"/>
  <c r="M39" i="7"/>
  <c r="M42" i="7"/>
  <c r="N42" i="7"/>
  <c r="M33" i="7"/>
  <c r="N33" i="7"/>
  <c r="K35" i="7"/>
  <c r="L35" i="7" s="1"/>
  <c r="K34" i="7"/>
  <c r="L34" i="7" s="1"/>
  <c r="Q44" i="6"/>
  <c r="T44" i="6"/>
  <c r="L11" i="6"/>
  <c r="K11" i="6"/>
  <c r="K44" i="7"/>
  <c r="L44" i="7"/>
  <c r="K42" i="7"/>
  <c r="L42" i="7"/>
  <c r="K28" i="7"/>
  <c r="O43" i="6"/>
  <c r="P43" i="6"/>
  <c r="K43" i="7"/>
  <c r="L43" i="7" s="1"/>
  <c r="K39" i="7"/>
  <c r="K40" i="7"/>
  <c r="L40" i="7" s="1"/>
  <c r="K31" i="7"/>
  <c r="L31" i="7"/>
  <c r="K33" i="7"/>
  <c r="L33" i="7"/>
  <c r="K30" i="7"/>
  <c r="L30" i="7" s="1"/>
  <c r="I49" i="7"/>
  <c r="I33" i="7"/>
  <c r="J33" i="7" s="1"/>
  <c r="I41" i="7"/>
  <c r="J41" i="7"/>
  <c r="I39" i="7"/>
  <c r="I38" i="7" s="1"/>
  <c r="I44" i="7"/>
  <c r="J44" i="7"/>
  <c r="I36" i="7"/>
  <c r="F11" i="7"/>
  <c r="I31" i="7"/>
  <c r="J31" i="7" s="1"/>
  <c r="I42" i="7"/>
  <c r="J42" i="7" s="1"/>
  <c r="I34" i="7"/>
  <c r="J34" i="7" s="1"/>
  <c r="I45" i="7"/>
  <c r="J45" i="7" s="1"/>
  <c r="I29" i="7"/>
  <c r="J29" i="7"/>
  <c r="I24" i="7"/>
  <c r="E24" i="7" s="1"/>
  <c r="J24" i="7"/>
  <c r="I28" i="7"/>
  <c r="E28" i="7" s="1"/>
  <c r="I30" i="7"/>
  <c r="J30" i="7"/>
  <c r="I40" i="7"/>
  <c r="E40" i="7" s="1"/>
  <c r="I43" i="7"/>
  <c r="J43" i="7" s="1"/>
  <c r="I46" i="7"/>
  <c r="I32" i="7"/>
  <c r="J32" i="7"/>
  <c r="I35" i="7"/>
  <c r="E35" i="7" s="1"/>
  <c r="J35" i="7"/>
  <c r="E11" i="7"/>
  <c r="Q46" i="6"/>
  <c r="T46" i="6"/>
  <c r="L15" i="6"/>
  <c r="K15" i="6"/>
  <c r="O47" i="6"/>
  <c r="E10" i="7"/>
  <c r="H54" i="7"/>
  <c r="L45" i="6" s="1"/>
  <c r="O45" i="6"/>
  <c r="D49" i="7"/>
  <c r="G41" i="7"/>
  <c r="H41" i="7" s="1"/>
  <c r="G33" i="7"/>
  <c r="H33" i="7" s="1"/>
  <c r="G24" i="7"/>
  <c r="G35" i="7"/>
  <c r="G34" i="7"/>
  <c r="G31" i="7"/>
  <c r="H31" i="7" s="1"/>
  <c r="G30" i="7"/>
  <c r="G28" i="7"/>
  <c r="G32" i="7"/>
  <c r="H32" i="7" s="1"/>
  <c r="G44" i="7"/>
  <c r="H44" i="7" s="1"/>
  <c r="G45" i="7"/>
  <c r="G42" i="7"/>
  <c r="H42" i="7" s="1"/>
  <c r="G38" i="7"/>
  <c r="O277" i="14"/>
  <c r="O227" i="14"/>
  <c r="L227" i="14"/>
  <c r="H227" i="14"/>
  <c r="B228" i="14"/>
  <c r="M227" i="14"/>
  <c r="K227" i="14"/>
  <c r="G227" i="14"/>
  <c r="I227" i="14"/>
  <c r="J227" i="14"/>
  <c r="F227" i="14"/>
  <c r="O38" i="7"/>
  <c r="P39" i="7"/>
  <c r="P38" i="7" s="1"/>
  <c r="P48" i="7" s="1"/>
  <c r="O48" i="7" s="1"/>
  <c r="Q43" i="6"/>
  <c r="T43" i="6"/>
  <c r="L9" i="6"/>
  <c r="K9" i="6"/>
  <c r="N28" i="7"/>
  <c r="N26" i="7"/>
  <c r="M26" i="7"/>
  <c r="N39" i="7"/>
  <c r="N38" i="7" s="1"/>
  <c r="N48" i="7" s="1"/>
  <c r="M48" i="7" s="1"/>
  <c r="M38" i="7"/>
  <c r="E43" i="7"/>
  <c r="K38" i="7"/>
  <c r="L39" i="7"/>
  <c r="L38" i="7"/>
  <c r="L28" i="7"/>
  <c r="L26" i="7"/>
  <c r="K26" i="7"/>
  <c r="P45" i="6"/>
  <c r="Q45" i="6"/>
  <c r="T45" i="6"/>
  <c r="L13" i="6"/>
  <c r="K13" i="6"/>
  <c r="P47" i="6"/>
  <c r="Q47" i="6"/>
  <c r="T47" i="6"/>
  <c r="L17" i="6"/>
  <c r="K17" i="6"/>
  <c r="I26" i="7"/>
  <c r="J28" i="7"/>
  <c r="J26" i="7" s="1"/>
  <c r="J36" i="7"/>
  <c r="E36" i="7"/>
  <c r="J39" i="7"/>
  <c r="J38" i="7" s="1"/>
  <c r="J48" i="7" s="1"/>
  <c r="I48" i="7" s="1"/>
  <c r="J46" i="7"/>
  <c r="E39" i="7"/>
  <c r="J40" i="7"/>
  <c r="E49" i="7"/>
  <c r="J49" i="7"/>
  <c r="E45" i="7"/>
  <c r="H45" i="7"/>
  <c r="E32" i="7"/>
  <c r="E44" i="7"/>
  <c r="G26" i="7"/>
  <c r="H28" i="7"/>
  <c r="H26" i="7"/>
  <c r="H34" i="7"/>
  <c r="E34" i="7"/>
  <c r="H24" i="7"/>
  <c r="H30" i="7"/>
  <c r="H35" i="7"/>
  <c r="E41" i="7"/>
  <c r="E38" i="7"/>
  <c r="U19" i="7"/>
  <c r="I20" i="7"/>
  <c r="J20" i="7" s="1"/>
  <c r="Q23" i="7"/>
  <c r="R23" i="7"/>
  <c r="M21" i="7"/>
  <c r="N21" i="7" s="1"/>
  <c r="O18" i="7"/>
  <c r="P18" i="7"/>
  <c r="Q22" i="7"/>
  <c r="R22" i="7"/>
  <c r="I23" i="7"/>
  <c r="J23" i="7"/>
  <c r="O17" i="7"/>
  <c r="M17" i="7"/>
  <c r="N17" i="7"/>
  <c r="K17" i="7"/>
  <c r="L17" i="7"/>
  <c r="G17" i="7"/>
  <c r="H17" i="7"/>
  <c r="H16" i="7"/>
  <c r="I17" i="7"/>
  <c r="I18" i="7"/>
  <c r="J18" i="7" s="1"/>
  <c r="I21" i="7"/>
  <c r="I22" i="7"/>
  <c r="J22" i="7" s="1"/>
  <c r="I16" i="7"/>
  <c r="F39" i="9"/>
  <c r="K21" i="7"/>
  <c r="L21" i="7"/>
  <c r="G20" i="7"/>
  <c r="H20" i="7" s="1"/>
  <c r="O21" i="7"/>
  <c r="P21" i="7"/>
  <c r="K23" i="7"/>
  <c r="L23" i="7" s="1"/>
  <c r="G18" i="7"/>
  <c r="E18" i="7" s="1"/>
  <c r="Q20" i="7"/>
  <c r="R20" i="7"/>
  <c r="R16" i="7" s="1"/>
  <c r="J21" i="7"/>
  <c r="G21" i="7"/>
  <c r="E21" i="7" s="1"/>
  <c r="Q21" i="7"/>
  <c r="R21" i="7"/>
  <c r="M20" i="7"/>
  <c r="N20" i="7" s="1"/>
  <c r="M23" i="7"/>
  <c r="N23" i="7" s="1"/>
  <c r="M22" i="7"/>
  <c r="N22" i="7" s="1"/>
  <c r="O23" i="7"/>
  <c r="P23" i="7"/>
  <c r="M18" i="7"/>
  <c r="N18" i="7"/>
  <c r="K18" i="7"/>
  <c r="L18" i="7" s="1"/>
  <c r="O20" i="7"/>
  <c r="P20" i="7" s="1"/>
  <c r="G23" i="7"/>
  <c r="H23" i="7"/>
  <c r="K20" i="7"/>
  <c r="L20" i="7" s="1"/>
  <c r="O22" i="7"/>
  <c r="P22" i="7"/>
  <c r="K22" i="7"/>
  <c r="L22" i="7" s="1"/>
  <c r="G22" i="7"/>
  <c r="H22" i="7" s="1"/>
  <c r="P17" i="7"/>
  <c r="K16" i="7"/>
  <c r="E16" i="7" s="1"/>
  <c r="F34" i="9"/>
  <c r="F33" i="9"/>
  <c r="F36" i="9"/>
  <c r="F35" i="9"/>
  <c r="F32" i="9"/>
  <c r="F37" i="9"/>
  <c r="J17" i="7"/>
  <c r="E17" i="7"/>
  <c r="Q16" i="7"/>
  <c r="G16" i="7"/>
  <c r="E23" i="7"/>
  <c r="P16" i="7"/>
  <c r="O50" i="7"/>
  <c r="N16" i="7"/>
  <c r="M50" i="7"/>
  <c r="O16" i="7"/>
  <c r="M16" i="7"/>
  <c r="L16" i="7"/>
  <c r="L48" i="7"/>
  <c r="K48" i="7"/>
  <c r="K50" i="7"/>
  <c r="J16" i="7"/>
  <c r="I50" i="7"/>
  <c r="E50" i="7"/>
  <c r="D50" i="7"/>
  <c r="N50" i="7"/>
  <c r="N52" i="7"/>
  <c r="J51" i="6" s="1"/>
  <c r="L50" i="7"/>
  <c r="L52" i="7"/>
  <c r="J49" i="6" s="1"/>
  <c r="P50" i="7"/>
  <c r="P52" i="7" s="1"/>
  <c r="J53" i="6" s="1"/>
  <c r="J50" i="7"/>
  <c r="J43" i="6" s="1"/>
  <c r="R52" i="7" l="1"/>
  <c r="J60" i="6" s="1"/>
  <c r="D48" i="7"/>
  <c r="J52" i="7"/>
  <c r="E20" i="7"/>
  <c r="E42" i="7"/>
  <c r="A3" i="7"/>
  <c r="H18" i="7"/>
  <c r="E33" i="7"/>
  <c r="O26" i="7"/>
  <c r="E26" i="7" s="1"/>
  <c r="E22" i="7"/>
  <c r="C4" i="3"/>
  <c r="H21" i="7"/>
  <c r="B4" i="4"/>
  <c r="M54" i="4"/>
  <c r="B4" i="2"/>
  <c r="K29" i="7"/>
  <c r="L29" i="7" s="1"/>
  <c r="E46" i="7"/>
  <c r="A3" i="8"/>
  <c r="M58" i="4"/>
  <c r="B4" i="7"/>
  <c r="E29" i="7" l="1"/>
  <c r="J47" i="6"/>
  <c r="H48" i="7"/>
  <c r="H52" i="7" l="1"/>
  <c r="J45" i="6" s="1"/>
  <c r="G48" i="7"/>
  <c r="E48" i="7" s="1"/>
</calcChain>
</file>

<file path=xl/sharedStrings.xml><?xml version="1.0" encoding="utf-8"?>
<sst xmlns="http://schemas.openxmlformats.org/spreadsheetml/2006/main" count="1008" uniqueCount="834">
  <si>
    <t>Aufforderung zum Abschluss einer Pflegesatzvereinbarung gemäß §§ 84, 85 SGB XI</t>
  </si>
  <si>
    <t>Allgemeine Angaben</t>
  </si>
  <si>
    <t>Art der Einrichtung:</t>
  </si>
  <si>
    <t>Wohnpflegeheim</t>
  </si>
  <si>
    <t>Institutionskennzeichen:</t>
  </si>
  <si>
    <t>Allgemeine Angaben zur Pflegeeinrichtung und zum Träger</t>
  </si>
  <si>
    <t>Name der Einrichtung</t>
  </si>
  <si>
    <t>Straße</t>
  </si>
  <si>
    <t>PLZ, Ort</t>
  </si>
  <si>
    <t>Telefon</t>
  </si>
  <si>
    <t>Fax</t>
  </si>
  <si>
    <t>E-Mail</t>
  </si>
  <si>
    <t>PDL</t>
  </si>
  <si>
    <t>In Trägerschaft von:</t>
  </si>
  <si>
    <t>Name des Trägers</t>
  </si>
  <si>
    <t>Zugehörigkeit zu einer Vereinigung von Trägern von stationären Pflegeeinrichtungen im Land</t>
  </si>
  <si>
    <t>Wenn ja, welche?</t>
  </si>
  <si>
    <t>Hiermit erteilen wir o.g. Vereinigung Verhandlungsmandat</t>
  </si>
  <si>
    <t>Platzzahl der Pflegeeinrichtung entsprechend des Versorgungsvertrages:</t>
  </si>
  <si>
    <t>Pflegeeinrichtungskonzeption Stand:</t>
  </si>
  <si>
    <t>ist als Anlage beigefügt</t>
  </si>
  <si>
    <t>Vereinbarungszeitraum :</t>
  </si>
  <si>
    <t>von</t>
  </si>
  <si>
    <t>bis</t>
  </si>
  <si>
    <t>AOK PLUS</t>
  </si>
  <si>
    <t>vdek</t>
  </si>
  <si>
    <t>BKK</t>
  </si>
  <si>
    <t>IKK</t>
  </si>
  <si>
    <t>Knappschaft</t>
  </si>
  <si>
    <t>PKV</t>
  </si>
  <si>
    <t>Sonstige Sozialversicherungsträger</t>
  </si>
  <si>
    <t>Belegungsdaten</t>
  </si>
  <si>
    <t>jährliche Öffnungstage:</t>
  </si>
  <si>
    <t>Prognose ab:</t>
  </si>
  <si>
    <t>Pflegegrad</t>
  </si>
  <si>
    <t>Pflegebedürftige</t>
  </si>
  <si>
    <t>Summe</t>
  </si>
  <si>
    <t>Plätze:</t>
  </si>
  <si>
    <t>(Prognose)</t>
  </si>
  <si>
    <t>Wachkoma</t>
  </si>
  <si>
    <t>Personalstruktur der Einrichtung</t>
  </si>
  <si>
    <t>Vollkräfte</t>
  </si>
  <si>
    <t>Gesamt</t>
  </si>
  <si>
    <t xml:space="preserve"> € / Jahr / je VK</t>
  </si>
  <si>
    <t>(Stichtag)</t>
  </si>
  <si>
    <t>1.</t>
  </si>
  <si>
    <t>Pflegefachkräfte</t>
  </si>
  <si>
    <t>Pflegehilfskräfte</t>
  </si>
  <si>
    <t>Fachkraftquote</t>
  </si>
  <si>
    <t>2.</t>
  </si>
  <si>
    <t>3.</t>
  </si>
  <si>
    <t>Leitung / Verwaltung</t>
  </si>
  <si>
    <t>Verwaltungskräfte</t>
  </si>
  <si>
    <t>Gesamt Leitung / Verwaltung</t>
  </si>
  <si>
    <t>4.</t>
  </si>
  <si>
    <t>5.</t>
  </si>
  <si>
    <t>Küche</t>
  </si>
  <si>
    <t>6.</t>
  </si>
  <si>
    <t>Haustechnik</t>
  </si>
  <si>
    <t>7.</t>
  </si>
  <si>
    <t>8.</t>
  </si>
  <si>
    <t>Zusätzliche Betreuung und Aktivierung</t>
  </si>
  <si>
    <t xml:space="preserve">nach § 43b SGB XI </t>
  </si>
  <si>
    <t>*</t>
  </si>
  <si>
    <t xml:space="preserve">Um die Lesbarkeit zu vereinfachen wird auf die zusätzliche Formulierung der weiblichen Form verzichtet. Es wird darauf hingewiesen, </t>
  </si>
  <si>
    <t>dass die ausschließliche Verwendung der männlichen Form explizit als geschlechtsunabhängig verstanden werden soll.</t>
  </si>
  <si>
    <t>Sachkosten - Fremdleistungen/Leistungen des Trägers für die Pflegeeinrichtung</t>
  </si>
  <si>
    <t>Fremdleistungen</t>
  </si>
  <si>
    <t>Leistungen des Trägers</t>
  </si>
  <si>
    <t>vollständig - anteilig</t>
  </si>
  <si>
    <t>Wäscherei</t>
  </si>
  <si>
    <t>Reinigung</t>
  </si>
  <si>
    <t>Verwaltung</t>
  </si>
  <si>
    <t>Aufwendungen</t>
  </si>
  <si>
    <t>€ / Tag</t>
  </si>
  <si>
    <t>Erläuterung s. Anlage</t>
  </si>
  <si>
    <t>des letzten abgeschl.</t>
  </si>
  <si>
    <t>Prognose</t>
  </si>
  <si>
    <t>Kalenderjahres</t>
  </si>
  <si>
    <t>€</t>
  </si>
  <si>
    <t>2.1</t>
  </si>
  <si>
    <t>Lebensmittel</t>
  </si>
  <si>
    <t>2.2</t>
  </si>
  <si>
    <t>Pflegerischer Bedarf</t>
  </si>
  <si>
    <t>2.3</t>
  </si>
  <si>
    <t>Wasser, Energie, Brennstoffe</t>
  </si>
  <si>
    <t>2.4</t>
  </si>
  <si>
    <t>Verwaltungsbedarf</t>
  </si>
  <si>
    <t>2.5</t>
  </si>
  <si>
    <t>Zentrale Verwaltungsdienste</t>
  </si>
  <si>
    <t>2.6</t>
  </si>
  <si>
    <t>Betreuungsaufwand</t>
  </si>
  <si>
    <t>2.7</t>
  </si>
  <si>
    <t>Wirtschaftsbedarf</t>
  </si>
  <si>
    <t>2.8</t>
  </si>
  <si>
    <t>Steuern/Abgaben/Versicherungen</t>
  </si>
  <si>
    <t>2.9</t>
  </si>
  <si>
    <t>Wartung (keine Instandhaltung)</t>
  </si>
  <si>
    <t>2.10</t>
  </si>
  <si>
    <t>sonstige Aufwendungen</t>
  </si>
  <si>
    <t xml:space="preserve">Gesamtsumme </t>
  </si>
  <si>
    <t xml:space="preserve">Aufwand des </t>
  </si>
  <si>
    <t>Erläuterung     s. Anlage</t>
  </si>
  <si>
    <t>letzten abgeschl.</t>
  </si>
  <si>
    <t xml:space="preserve">Prognose </t>
  </si>
  <si>
    <t>3.1</t>
  </si>
  <si>
    <r>
      <rPr>
        <sz val="10"/>
        <color theme="1"/>
        <rFont val="Arial"/>
        <family val="2"/>
      </rPr>
      <t>Küche</t>
    </r>
    <r>
      <rPr>
        <sz val="11"/>
        <color theme="1"/>
        <rFont val="Arial"/>
        <family val="2"/>
      </rPr>
      <t xml:space="preserve"> </t>
    </r>
    <r>
      <rPr>
        <sz val="7"/>
        <rFont val="Arial"/>
        <family val="2"/>
      </rPr>
      <t>(ohne Pkt. 2.1)</t>
    </r>
  </si>
  <si>
    <t>3.2</t>
  </si>
  <si>
    <t>3.3</t>
  </si>
  <si>
    <t>3.4</t>
  </si>
  <si>
    <t>3.5</t>
  </si>
  <si>
    <t>3.6</t>
  </si>
  <si>
    <t>3.7</t>
  </si>
  <si>
    <t>Divisor:</t>
  </si>
  <si>
    <t xml:space="preserve"> </t>
  </si>
  <si>
    <t/>
  </si>
  <si>
    <t>Forderungen des Trägers der Pflegeeinrichtung</t>
  </si>
  <si>
    <t>1. Personelle Ausstattung der Pflegeeinrichtung:</t>
  </si>
  <si>
    <t>Personalrelation</t>
  </si>
  <si>
    <t>Pflegegrad 1</t>
  </si>
  <si>
    <t>:</t>
  </si>
  <si>
    <t>Pflegegrad 2</t>
  </si>
  <si>
    <t>Pflegegrad 3</t>
  </si>
  <si>
    <t>Pflegegrad 4</t>
  </si>
  <si>
    <t>Pflegegrad 5</t>
  </si>
  <si>
    <t>Σ</t>
  </si>
  <si>
    <t>1:</t>
  </si>
  <si>
    <t>Leitung und Verwaltung</t>
  </si>
  <si>
    <t>Hauswirtschaft</t>
  </si>
  <si>
    <t>Einsatzstellen FSJ / Freiwillige Dienste</t>
  </si>
  <si>
    <t>Anzahl:</t>
  </si>
  <si>
    <t>2. einrichtungseinheitlicher Eigenanteil, Pflegesätze und Entgelte:</t>
  </si>
  <si>
    <t xml:space="preserve">einrichtungseinheitlicher Eigenanteil </t>
  </si>
  <si>
    <t>(ohne Ausbildungsvergütung nach § 82a SGB XI)</t>
  </si>
  <si>
    <t>Pflegesätze</t>
  </si>
  <si>
    <t>Pflegegrad 1:</t>
  </si>
  <si>
    <t>Pflegegrad 2:</t>
  </si>
  <si>
    <t>Pflegegrad 3:</t>
  </si>
  <si>
    <t>Pflegegrad 4:</t>
  </si>
  <si>
    <t>Pflegegrad 5:</t>
  </si>
  <si>
    <t>Vergütungszuschlag § 43 b SGB XI</t>
  </si>
  <si>
    <t>Entgelte</t>
  </si>
  <si>
    <t>für die Unterkunft</t>
  </si>
  <si>
    <t>für die Verpflegung</t>
  </si>
  <si>
    <t>Die Richtigkeit der in der Aufforderung enthaltenen Angaben wird bestätigt:</t>
  </si>
  <si>
    <t>Ort, Datum</t>
  </si>
  <si>
    <t>Rechtsverbindliche Unterschrift und Stempel</t>
  </si>
  <si>
    <t>Gesamtkalkulation</t>
  </si>
  <si>
    <t>GELBER TEIL</t>
  </si>
  <si>
    <t>Gesamtplätze:</t>
  </si>
  <si>
    <t>WIRD AUS-</t>
  </si>
  <si>
    <t>Tage/Monat</t>
  </si>
  <si>
    <t>GEBLENDET</t>
  </si>
  <si>
    <t>Leistungsbetrag § 43 SGB XI (nur vollstationär):</t>
  </si>
  <si>
    <t>Aufwendungen für Leistungen im Pflegegrad 1</t>
  </si>
  <si>
    <t>Aufwendungen für Leistungen im Pflegegrad 2</t>
  </si>
  <si>
    <t>Aufwendungen für Leistungen im Pflegegrad 3</t>
  </si>
  <si>
    <t>Aufwendungen für Leistungen im Pflegegrad 4</t>
  </si>
  <si>
    <t>Aufwendungen für Leistungen im Pflegegrad 5</t>
  </si>
  <si>
    <t>Aufwendungen für die Unterkunft</t>
  </si>
  <si>
    <t>Aufwendungen für die Verpflegung</t>
  </si>
  <si>
    <t>Gesamtaufwendungen</t>
  </si>
  <si>
    <t>Plausi Ges.</t>
  </si>
  <si>
    <t>Gesamt in €</t>
  </si>
  <si>
    <t>Tag / €</t>
  </si>
  <si>
    <t xml:space="preserve">1. </t>
  </si>
  <si>
    <t>1.1.</t>
  </si>
  <si>
    <t>1.2.</t>
  </si>
  <si>
    <t>1.3.</t>
  </si>
  <si>
    <t>1.4.</t>
  </si>
  <si>
    <t>1.5.</t>
  </si>
  <si>
    <t>1.6.</t>
  </si>
  <si>
    <t>1.7.</t>
  </si>
  <si>
    <t>Sachaufwendungen</t>
  </si>
  <si>
    <t xml:space="preserve">3. </t>
  </si>
  <si>
    <t>Fremdleistungen / Trägerleistungen</t>
  </si>
  <si>
    <t>Umsatz Leistungsbeträge § 43 SGB XI:</t>
  </si>
  <si>
    <t xml:space="preserve"> Budget Eigenanteil nach Pflegegraden:</t>
  </si>
  <si>
    <t>errechnete Pflegesätze (Tag je Platz):</t>
  </si>
  <si>
    <t>Unterkunft:</t>
  </si>
  <si>
    <t>Verpflegung:</t>
  </si>
  <si>
    <t xml:space="preserve">   (ohne Ausbildungsvergütung nach § 82a SGB XI)</t>
  </si>
  <si>
    <t>1.8.</t>
  </si>
  <si>
    <t>gehe weiter zu Bewohnervertretung</t>
  </si>
  <si>
    <t>Stellungnahme der Bewohnervertretung gem. § 85 (3) SGB XI</t>
  </si>
  <si>
    <t>Bewohnervertretung</t>
  </si>
  <si>
    <t>Bewohnerfürsprecher *</t>
  </si>
  <si>
    <t>a)</t>
  </si>
  <si>
    <t xml:space="preserve">Schriftliche Stellungnahme liegt vor </t>
  </si>
  <si>
    <t>Ja</t>
  </si>
  <si>
    <t>weitere Angaben unter c) oder als Anlage erforderlich</t>
  </si>
  <si>
    <t>Nein</t>
  </si>
  <si>
    <t>weitere Angaben unter b) erforderlich</t>
  </si>
  <si>
    <t>b)</t>
  </si>
  <si>
    <t>Begründung für Nichtvorlage der schriftlichen Stellungnahme</t>
  </si>
  <si>
    <t xml:space="preserve">Gelegenheit zur Stellungnahme wurde eingeräumt, </t>
  </si>
  <si>
    <t>Bewohnervertretung oder Bewohnerfürsprecher nicht vorhanden,</t>
  </si>
  <si>
    <t>c)</t>
  </si>
  <si>
    <t>Einbeziehung der Bewohnervertretung / des Bewohnerfürsprechers:</t>
  </si>
  <si>
    <t>Stellungnahme der Bewohnervertretung / des Bewohnerfürsprechers:</t>
  </si>
  <si>
    <t>Unterschrift des Vorsitzenden der Bewohnervertretung</t>
  </si>
  <si>
    <t>oder des Bewohnerfürsprechers</t>
  </si>
  <si>
    <t>Einrichtungsart</t>
  </si>
  <si>
    <t>Kreuz</t>
  </si>
  <si>
    <t>Öffnungstage</t>
  </si>
  <si>
    <t>Auslastung</t>
  </si>
  <si>
    <t>Ja/Nein</t>
  </si>
  <si>
    <t xml:space="preserve">vollstationäre Pflege </t>
  </si>
  <si>
    <t>x</t>
  </si>
  <si>
    <t>ja</t>
  </si>
  <si>
    <t>4. Generation</t>
  </si>
  <si>
    <t>nein</t>
  </si>
  <si>
    <t>Pflegeeinrichtung:</t>
  </si>
  <si>
    <t>Einrichtungsleitung</t>
  </si>
  <si>
    <t>Web-Adresse</t>
  </si>
  <si>
    <t>Belegungstage</t>
  </si>
  <si>
    <t>zum Stichtag</t>
  </si>
  <si>
    <t>von:</t>
  </si>
  <si>
    <t>bis:</t>
  </si>
  <si>
    <t>Pflegebedürftige im Wachkoma (Phase F)</t>
  </si>
  <si>
    <t>Pflegebedürftige mit Ernährungssonde</t>
  </si>
  <si>
    <t>Sonstige (*siehe Hinweisblatt):</t>
  </si>
  <si>
    <t>Belegungstage/Jahr</t>
  </si>
  <si>
    <t xml:space="preserve">Gesamt Pflege </t>
  </si>
  <si>
    <t>Betreuung</t>
  </si>
  <si>
    <t>Sonstige Mitarbeiter*</t>
  </si>
  <si>
    <t>Personalnebenkosten</t>
  </si>
  <si>
    <t xml:space="preserve">Sachkosten </t>
  </si>
  <si>
    <t>Fremdleistungen / Leistungen des Trägers</t>
  </si>
  <si>
    <t>ANT am PS</t>
  </si>
  <si>
    <t>Divisor allg</t>
  </si>
  <si>
    <t>§ 43b:</t>
  </si>
  <si>
    <t>Aufwendungen für § 43b</t>
  </si>
  <si>
    <t>Der vorliegende Antrag auf Abschluss einer neuen Pflegesatzvereinbarung, die zu einer Erhöhung der</t>
  </si>
  <si>
    <t>Entgelte für Pflege, Unterkunft, Verpflegung und des einrichtungseinheitlichen Eigenanteils in vollstationären</t>
  </si>
  <si>
    <t xml:space="preserve">Einrichtungen nach § 43 führen kann, wurde uns vom Einrichtungsträger vorgelegt und erläutert. Die dem   </t>
  </si>
  <si>
    <t xml:space="preserve">Antrag zugrunde liegenden Einzelpositionen, der Umlagemaßstab sowie die Antragsbegründung wurden </t>
  </si>
  <si>
    <t>ausführlich dargestellt und auf die Möglichkeit an der Pflegesatzverhandlung teilzunehmen hingewiesen.</t>
  </si>
  <si>
    <t>(gilt nur für vollstationäre Pflegeeinrichtungen)</t>
  </si>
  <si>
    <r>
      <t>Betreuung</t>
    </r>
    <r>
      <rPr>
        <sz val="10"/>
        <color rgb="FFFF0000"/>
        <rFont val="Arial"/>
        <family val="2"/>
      </rPr>
      <t xml:space="preserve"> </t>
    </r>
  </si>
  <si>
    <t>§ 43b SGB XI:</t>
  </si>
  <si>
    <r>
      <t xml:space="preserve">Aufwendungen für Leistungen im </t>
    </r>
    <r>
      <rPr>
        <b/>
        <sz val="10"/>
        <color theme="1"/>
        <rFont val="Arial"/>
        <family val="2"/>
      </rPr>
      <t>Pflegegrad 1</t>
    </r>
  </si>
  <si>
    <r>
      <t>Aufwendungen für Leistungen im</t>
    </r>
    <r>
      <rPr>
        <b/>
        <sz val="10"/>
        <color theme="1"/>
        <rFont val="Arial"/>
        <family val="2"/>
      </rPr>
      <t xml:space="preserve"> Pflegegrad 2</t>
    </r>
  </si>
  <si>
    <r>
      <t xml:space="preserve">Aufwendungen für Leistungen im </t>
    </r>
    <r>
      <rPr>
        <b/>
        <sz val="10"/>
        <color theme="1"/>
        <rFont val="Arial"/>
        <family val="2"/>
      </rPr>
      <t>Pflegegrad 3</t>
    </r>
  </si>
  <si>
    <r>
      <t xml:space="preserve">Aufwendungen für Leistungen im </t>
    </r>
    <r>
      <rPr>
        <b/>
        <sz val="10"/>
        <color theme="1"/>
        <rFont val="Arial"/>
        <family val="2"/>
      </rPr>
      <t>Pflegegrad 4</t>
    </r>
  </si>
  <si>
    <r>
      <t>Aufwendungen für Leistungen im</t>
    </r>
    <r>
      <rPr>
        <b/>
        <sz val="10"/>
        <color theme="1"/>
        <rFont val="Arial"/>
        <family val="2"/>
      </rPr>
      <t xml:space="preserve"> Pflegegrad 5</t>
    </r>
  </si>
  <si>
    <r>
      <t xml:space="preserve">Aufwendungen für die 
</t>
    </r>
    <r>
      <rPr>
        <b/>
        <sz val="10"/>
        <color theme="1"/>
        <rFont val="Arial"/>
        <family val="2"/>
      </rPr>
      <t>Unterkunft</t>
    </r>
  </si>
  <si>
    <r>
      <t xml:space="preserve">Aufwendungen für die 
</t>
    </r>
    <r>
      <rPr>
        <b/>
        <sz val="10"/>
        <color theme="1"/>
        <rFont val="Arial"/>
        <family val="2"/>
      </rPr>
      <t>Verpflegung</t>
    </r>
  </si>
  <si>
    <r>
      <t xml:space="preserve">Aufwendungen für 
</t>
    </r>
    <r>
      <rPr>
        <b/>
        <sz val="10"/>
        <color theme="1"/>
        <rFont val="Arial"/>
        <family val="2"/>
      </rPr>
      <t>§ 43b</t>
    </r>
  </si>
  <si>
    <t>Pflegekassen</t>
  </si>
  <si>
    <r>
      <t xml:space="preserve">Stichtag </t>
    </r>
    <r>
      <rPr>
        <sz val="10"/>
        <color theme="1"/>
        <rFont val="Arial"/>
        <family val="2"/>
      </rPr>
      <t>(Datum)</t>
    </r>
  </si>
  <si>
    <t xml:space="preserve">davon Träger der Sozialhilfe in %   </t>
  </si>
  <si>
    <t xml:space="preserve">Parteien der Pflegesatzvereinbarung (gem. § 85 Abs. 2 SGB XI) </t>
  </si>
  <si>
    <t>Anteil in %</t>
  </si>
  <si>
    <t>Zusätzliches Betreuungspersonal gem. § 43b SGB XI</t>
  </si>
  <si>
    <t>gehe weiter zu Belegung</t>
  </si>
  <si>
    <t>kalkulatorischer Auslastungsgrad:</t>
  </si>
  <si>
    <t>dauerhaft beatmungspflichtige Pflegebedürftige (ohne Phase F)</t>
  </si>
  <si>
    <t>gehe weiter zu Personalaufwendungen</t>
  </si>
  <si>
    <t>Gesamtpersonal-kosten</t>
  </si>
  <si>
    <t>Präsenzkräfte (4. Generation)</t>
  </si>
  <si>
    <t xml:space="preserve">Fachkräfte </t>
  </si>
  <si>
    <t>Wäscherei / Reinigung / Sonstiges</t>
  </si>
  <si>
    <t>Gesamt Hauswirtschaft</t>
  </si>
  <si>
    <t>Berufsgenossenschaft</t>
  </si>
  <si>
    <t>Ausgleichsabgabe</t>
  </si>
  <si>
    <t>Fortbildung</t>
  </si>
  <si>
    <t>Arbeits- und Gesundheitsschutz</t>
  </si>
  <si>
    <t>Gesamt Personalnebenkosten</t>
  </si>
  <si>
    <t xml:space="preserve">ZWISCHENSUMME GESAMTPERSONALKOSTEN </t>
  </si>
  <si>
    <t>jährlich Gesamt in EUR</t>
  </si>
  <si>
    <t>—</t>
  </si>
  <si>
    <t>gehe weiter zu Sachaufwendungen</t>
  </si>
  <si>
    <t>gehe weiter zu Forderung</t>
  </si>
  <si>
    <t>gehe weiter zu Gesamtkalkulation</t>
  </si>
  <si>
    <t>Besondere Versorgungssituation</t>
  </si>
  <si>
    <t>gehe weiter zu Beförderung</t>
  </si>
  <si>
    <t>prognostisch ab</t>
  </si>
  <si>
    <t>Gesamt Betreuung</t>
  </si>
  <si>
    <t>* Im Sinne der besseren Lesbarkeit wurde stellvertretend für beide Geschlechtsformen durchgehend nur die männliche Form verwendet.</t>
  </si>
  <si>
    <t>Bewohnervertretung oder Bewohnerfürsprecher haben diese nicht wahrgenommen</t>
  </si>
  <si>
    <t>(schriftliche Mitteilung des Trägers der Einrichtung an die zuständige Behörde beifügen)</t>
  </si>
  <si>
    <t>Hinweise zu den Sachaufwendungen, Fremdleistungen und Leistungen des Trägers für die Pflegeeinrichtung</t>
  </si>
  <si>
    <t>Definition:</t>
  </si>
  <si>
    <t>Erhebliche Steigerungen zu den Aufwendungen des letzten abgeschlossenen Kalenderjahres sollen in den Erläuterungen zum Antrag als Anlage dargestellt und begründet werden.</t>
  </si>
  <si>
    <t>Sachkostenposition</t>
  </si>
  <si>
    <t>Inhalt (Aufzählungen sind nicht abschließend)</t>
  </si>
  <si>
    <t>Bemerkungen</t>
  </si>
  <si>
    <t>pflegerischer Bedarf</t>
  </si>
  <si>
    <t>Wasser / Energie / Brennstoffe</t>
  </si>
  <si>
    <t>- hier nur den Verwaltungsbedarf der Einrichtung angeben, nicht aber der Zentralen Verwaltung</t>
  </si>
  <si>
    <t>Zentrale Verwaltung</t>
  </si>
  <si>
    <t>Steuern / Abgaben / Versicherungen</t>
  </si>
  <si>
    <t>- gilt nicht für Fahrzeuge im Rahmen der Tagespflege</t>
  </si>
  <si>
    <t>Wartung</t>
  </si>
  <si>
    <t>- keine Instandhaltung oder Instandsetzung</t>
  </si>
  <si>
    <t>Sonstige Aufwendungen</t>
  </si>
  <si>
    <t>Fremdleistung Küche</t>
  </si>
  <si>
    <t>Gesamtkosten des externen Anbieters (keine Lebensmittel)</t>
  </si>
  <si>
    <t xml:space="preserve">Fremdleistung Wäsche </t>
  </si>
  <si>
    <t xml:space="preserve">Gesamtkosten des externen Anbieters </t>
  </si>
  <si>
    <t>Fremdleistung Reinigung</t>
  </si>
  <si>
    <t>Fremdleistung Haustechnik</t>
  </si>
  <si>
    <t xml:space="preserve">Gesamtkosten des externen Anbieters, auch Winterdienst und Gartenpflege </t>
  </si>
  <si>
    <t>Fremdleistung Verwaltung</t>
  </si>
  <si>
    <t>Gesamtkosten der durch Dritte/Externe erbrachten Verwaltungsleistungen, z.B. Jahresabschlusskosten, Buchführung und Lohnrechnung, Rechtsberatung</t>
  </si>
  <si>
    <t>Fremdleistung Sonstiges</t>
  </si>
  <si>
    <t xml:space="preserve">Gesamtkosten des externen Anbieters, z.B. Wachdienst, externe Betreuungsleistungen (Tiertherapie), Rezeption, Servicemitarbeiter (Hauswirtschaft) </t>
  </si>
  <si>
    <t xml:space="preserve">Adressverzeichnis der Parteien der Pflegesatzvereinbarung
gem. § 85 Abs. 2 SGB XI sowie von Vergütungen nach § 75 SGB XII
</t>
  </si>
  <si>
    <t>AOK PLUS - Die Gesundheitskasse für Sachsen und Thüringen</t>
  </si>
  <si>
    <t>Müllerstraße 41</t>
  </si>
  <si>
    <t>09113 Chemnitz</t>
  </si>
  <si>
    <t>IKK classic</t>
  </si>
  <si>
    <t>Postfach 10 02 51</t>
  </si>
  <si>
    <t>01072 Dresden</t>
  </si>
  <si>
    <t xml:space="preserve">Knappschaft </t>
  </si>
  <si>
    <t>Regionaldirektion Chemnitz</t>
  </si>
  <si>
    <t>Jagdschänkenstraße 50</t>
  </si>
  <si>
    <t>09117 Chemnitz</t>
  </si>
  <si>
    <t>Kommunaler Sozialverband Sachsen</t>
  </si>
  <si>
    <t>Arbeitsgemeinschaft Betriebskrankenkassen</t>
  </si>
  <si>
    <t>BKK-Landesverband Mitte</t>
  </si>
  <si>
    <t>Landesrepräsentanz Sachsen</t>
  </si>
  <si>
    <t>Dr.-Külz-Ring 12</t>
  </si>
  <si>
    <t>01219 Dresden</t>
  </si>
  <si>
    <t>Arbeitsgemeinschaft Ersatzkassen</t>
  </si>
  <si>
    <t>Mitglieder</t>
  </si>
  <si>
    <t>vdek - Landesvertretung Sachsen</t>
  </si>
  <si>
    <t>Glacisstr. 4</t>
  </si>
  <si>
    <t>Techniker Krankenkasse (TK)</t>
  </si>
  <si>
    <t>01099 Dresden</t>
  </si>
  <si>
    <t>DAK-Gesundheit</t>
  </si>
  <si>
    <t>Kaufmännische Krankenkasse - KKH</t>
  </si>
  <si>
    <t>Verband der Privaten Kranken-</t>
  </si>
  <si>
    <t>versicherung e.V.</t>
  </si>
  <si>
    <t>Glinkastr. 40</t>
  </si>
  <si>
    <t>10117 Berlin</t>
  </si>
  <si>
    <t>Barmer</t>
  </si>
  <si>
    <t>Handelskrankenkasse (hkk)</t>
  </si>
  <si>
    <t>HEK - Hanseatische Krankenkasse</t>
  </si>
  <si>
    <t>PG 1</t>
  </si>
  <si>
    <t>PG 5</t>
  </si>
  <si>
    <t>PG 4</t>
  </si>
  <si>
    <t>PG 3</t>
  </si>
  <si>
    <t>PG 2</t>
  </si>
  <si>
    <t>0 trifft zu</t>
  </si>
  <si>
    <t>PG</t>
  </si>
  <si>
    <t>EEA-Divisor</t>
  </si>
  <si>
    <t>AUSBLENDEN und SPERREN</t>
  </si>
  <si>
    <t>check = wenn Belegung 0 in der PG, dann ist die PR auch 0</t>
  </si>
  <si>
    <t xml:space="preserve">          = wenn Belegung nicht 0 in der PG, dann bilde die geforderte PR ab</t>
  </si>
  <si>
    <t>Fr. Bischoff Vorschlag 30.03.2017</t>
  </si>
  <si>
    <t xml:space="preserve">Hochrechnung bei Nullbelegung </t>
  </si>
  <si>
    <t>a</t>
  </si>
  <si>
    <t>b</t>
  </si>
  <si>
    <t>d</t>
  </si>
  <si>
    <t>c) rechne anhand a und b die PR für die PG unter d zurück</t>
  </si>
  <si>
    <t>a) Suche welche PG als nächstes belegt ist und zeige diesen an</t>
  </si>
  <si>
    <t>b) suche zu a (zur ausgewiesenen PG) die entsprechende PR</t>
  </si>
  <si>
    <t>check/PR</t>
  </si>
  <si>
    <t>Leistungbetrag vst</t>
  </si>
  <si>
    <t>c = "1"</t>
  </si>
  <si>
    <t>e</t>
  </si>
  <si>
    <t>Kennzeichen Einrichtungsart:</t>
  </si>
  <si>
    <t xml:space="preserve">Freiwillige Dienste </t>
  </si>
  <si>
    <t>Anzahl</t>
  </si>
  <si>
    <t xml:space="preserve">FSJ Einsatzstellen </t>
  </si>
  <si>
    <r>
      <t xml:space="preserve">Rechnung mit Äquvalenzen </t>
    </r>
    <r>
      <rPr>
        <sz val="10"/>
        <color theme="1"/>
        <rFont val="Arial"/>
        <family val="2"/>
      </rPr>
      <t>(Rothgang bei vst und KZP, Faktor bei tst)</t>
    </r>
  </si>
  <si>
    <t>Personalaufwendungen (ohne 1.3.)</t>
  </si>
  <si>
    <r>
      <t>Freiwillige Dienste, FSJ</t>
    </r>
    <r>
      <rPr>
        <b/>
        <sz val="10"/>
        <color rgb="FFFF0000"/>
        <rFont val="Arial"/>
        <family val="2"/>
      </rPr>
      <t xml:space="preserve"> </t>
    </r>
  </si>
  <si>
    <t>Monat/Jahr</t>
  </si>
  <si>
    <t>Anzahl Pflegebedürftige</t>
  </si>
  <si>
    <t xml:space="preserve">    c = "1" sind die PR für die PE vst,WK, WPH</t>
  </si>
  <si>
    <t>Prozentsatz auf Bruttopersonalkosten</t>
  </si>
  <si>
    <t>Prozentsatz auf Sachkosten:</t>
  </si>
  <si>
    <t>Name der Einrichtung:</t>
  </si>
  <si>
    <t xml:space="preserve">Angaben für den Prognosezeitraum </t>
  </si>
  <si>
    <t>Tarifbindung:</t>
  </si>
  <si>
    <t>Welche/r Tarif/AVR?</t>
  </si>
  <si>
    <t>Fassung vom:</t>
  </si>
  <si>
    <t>Arbeitgeberanteile zur Sozialversicherung:</t>
  </si>
  <si>
    <t>%</t>
  </si>
  <si>
    <t>Folgenden Personalkostensteigerungen wurden in die Prognose eingearbeitet:</t>
  </si>
  <si>
    <t>Beiträge zur Altersvorsorge:</t>
  </si>
  <si>
    <t>Steigerung ab:</t>
  </si>
  <si>
    <t>PHK</t>
  </si>
  <si>
    <t>Prozent:</t>
  </si>
  <si>
    <t xml:space="preserve">stellv. PDL </t>
  </si>
  <si>
    <t>Präsenzkraft (4.Generation)</t>
  </si>
  <si>
    <t>WBL</t>
  </si>
  <si>
    <t>QM</t>
  </si>
  <si>
    <t>Stufe</t>
  </si>
  <si>
    <t>Stellenanteil VK</t>
  </si>
  <si>
    <t>Entgelt-gruppe</t>
  </si>
  <si>
    <r>
      <t>Monatliche Zahlungen (AN-Brutto) in €</t>
    </r>
    <r>
      <rPr>
        <b/>
        <u/>
        <sz val="10"/>
        <rFont val="Arial"/>
        <family val="2"/>
      </rPr>
      <t xml:space="preserve"> je Stellenanteil</t>
    </r>
  </si>
  <si>
    <r>
      <t xml:space="preserve">Einmalzahlungen in € </t>
    </r>
    <r>
      <rPr>
        <b/>
        <u/>
        <sz val="10"/>
        <rFont val="Arial"/>
        <family val="2"/>
      </rPr>
      <t>je Stellenanteil</t>
    </r>
  </si>
  <si>
    <r>
      <t>durchschnitt-liche  Arbeitgeber-bruttopersonalkosten (inkl. SV-AG)  in €</t>
    </r>
    <r>
      <rPr>
        <b/>
        <u/>
        <sz val="10"/>
        <rFont val="Arial"/>
        <family val="2"/>
      </rPr>
      <t xml:space="preserve"> je Stellenanteil</t>
    </r>
  </si>
  <si>
    <r>
      <t>durchschnitt-liche Gesamt-bruttopersonalkosten in €</t>
    </r>
    <r>
      <rPr>
        <b/>
        <u/>
        <sz val="10"/>
        <rFont val="Arial"/>
        <family val="2"/>
      </rPr>
      <t xml:space="preserve"> je VK</t>
    </r>
  </si>
  <si>
    <t>PFK</t>
  </si>
  <si>
    <t xml:space="preserve">Grundlohn/-gehalt </t>
  </si>
  <si>
    <t>Besitzstand</t>
  </si>
  <si>
    <t>bAV, sonstige
betriebl. Zulagen</t>
  </si>
  <si>
    <t>Kinderzulagen/Sozialzuschläge</t>
  </si>
  <si>
    <t>Urlaubsgeld</t>
  </si>
  <si>
    <t xml:space="preserve">Jahressonder-
zahlung/ 
Weihnachts-
geld </t>
  </si>
  <si>
    <t>Im "Registerblatt Start"  auf Einfügen oder Löschen klicken (Gruppe Zellen)</t>
  </si>
  <si>
    <t>Leiter</t>
  </si>
  <si>
    <t>Koch</t>
  </si>
  <si>
    <t>Beikoch</t>
  </si>
  <si>
    <t>Hilfskraft</t>
  </si>
  <si>
    <t xml:space="preserve">sonstige </t>
  </si>
  <si>
    <t>Fachkräfte</t>
  </si>
  <si>
    <t>sonstige</t>
  </si>
  <si>
    <t>Fachkraftquote:</t>
  </si>
  <si>
    <t>Bruttoperso-nalkosten in € je Stelle/ Jahr</t>
  </si>
  <si>
    <t>Gesamt in €/Jahr</t>
  </si>
  <si>
    <t>Ø  in € je Stelle/Jahr</t>
  </si>
  <si>
    <t>letzte 12 Monate</t>
  </si>
  <si>
    <t>Platzzahl der angebundenen Kurzzeitpflegeeinrichtung lt. Versorgungsvertrag</t>
  </si>
  <si>
    <t>angebundene KZP prognostisch ab</t>
  </si>
  <si>
    <t>Ansprechpartner/ Funktion</t>
  </si>
  <si>
    <t>Kosten je Stelle</t>
  </si>
  <si>
    <t>SV-pflichtige Zuschläge/ Zulagen</t>
  </si>
  <si>
    <t>SV-freie Zuschläge/ Zulagen</t>
  </si>
  <si>
    <t xml:space="preserve">durchschnittliche Bruttopersonal-kosten </t>
  </si>
  <si>
    <t>(inkl. Personalneben-kosten, Unternehmer-risiko)</t>
  </si>
  <si>
    <t>gehe weiter zu Personalkostenaufstellung</t>
  </si>
  <si>
    <t>in den letzten 12 Kalendermonaten</t>
  </si>
  <si>
    <t>Belegungstage - 6 Kalendermonate rückwirkend ab Stichtag</t>
  </si>
  <si>
    <t>Stand 08.05.2018</t>
  </si>
  <si>
    <t>GB Pflege/Häusliche Krankenpflege</t>
  </si>
  <si>
    <t>Bereich Vertragsmanagement Pflege/HKP</t>
  </si>
  <si>
    <t>Team Vergütung Pflege/HKP</t>
  </si>
  <si>
    <t>Geschäftsbereich Pflege/Häusliche Krankenpflege</t>
  </si>
  <si>
    <t>Humboldtstraße 18</t>
  </si>
  <si>
    <t>04105 Leipzig</t>
  </si>
  <si>
    <t>vereinbarungen-pflege@ksv-sachsen.de</t>
  </si>
  <si>
    <t>Stand 7.6.18</t>
  </si>
  <si>
    <t>PDL/ stellvertretende PDL</t>
  </si>
  <si>
    <t>14.05.2019 bisher Pflegedienstleitung =&gt; neue Bezeichnung "PDL/ stellvertretende PDL"</t>
  </si>
  <si>
    <t>Zeilen für alle Funktionsbereiche eingefügt</t>
  </si>
  <si>
    <t>Ort der Einrichtung:</t>
  </si>
  <si>
    <t>für Ist + Prognosezeitraum = zieht es den Namen, den Ort und das IK der Einrichtung aus den allgemeinen Angaben</t>
  </si>
  <si>
    <t>Überschrift der PKL erneut in Zelle F1 eingefügt, da Ist Angaben erst nach Aufforderung dr. KT übermittelt werden lt. RVT</t>
  </si>
  <si>
    <t>alle VK-Anteile mit 3 Stellen nach dem Komma und alle Prozentangaben und € Werte mit 2 Stellen nach dem Komma</t>
  </si>
  <si>
    <t>alle drchn. Bruttopersonalkosten €/Jahr/VK je Funktionsbereich werden aus der Personalkostenaufstellung (Prognose €/VK und Fktbereich) gezogen</t>
  </si>
  <si>
    <t>für die sonstigen Mitarbeiter werden die Kosten €/Stelle und die Anzahl der Stellen aus der Personalkostenaufstellung (Prognose) gezogen</t>
  </si>
  <si>
    <t>Hinweis in Zelle L121, L224;L245;L274;L297;L330;L363;L376;L387 eingefügt</t>
  </si>
  <si>
    <t>sobald der LE % in L13 zur Altersversorgung angibt, erfolgt ein Hinweis zur Erfassung der Kosten in der Spalte bAV, sonstige Zulagen</t>
  </si>
  <si>
    <t>Pflege inkl. QM (ohne PDL/stellv. PDL)</t>
  </si>
  <si>
    <t>Rahmenvertrag vollstationär 5/2019:</t>
  </si>
  <si>
    <t>PDL/stellvertretende PDL zusätzlich folgende Personalausstattung</t>
  </si>
  <si>
    <t>Plätze von</t>
  </si>
  <si>
    <t>Plätze bis</t>
  </si>
  <si>
    <t>VK Ausstattung</t>
  </si>
  <si>
    <t>&gt; 151</t>
  </si>
  <si>
    <t>Platzzahl LE:</t>
  </si>
  <si>
    <t>VK Soll lt. RVT für LE</t>
  </si>
  <si>
    <t>PlausiPrüfung PDL/stellv. PDL</t>
  </si>
  <si>
    <t>PlausiPrüfung Betreuung</t>
  </si>
  <si>
    <t>Rahmenvertrag vollstat. 5/2019</t>
  </si>
  <si>
    <t>BB min (1 : )</t>
  </si>
  <si>
    <t>BB max (1 :)</t>
  </si>
  <si>
    <t>BB min RVT 1 :</t>
  </si>
  <si>
    <t>BB max RVT 1 :</t>
  </si>
  <si>
    <t xml:space="preserve">Orientierungswert </t>
  </si>
  <si>
    <t>teilstationäre Pflege und Kurzzeitpflege entfernt</t>
  </si>
  <si>
    <t>bi/Spalte A_ Einrichtungsarten:</t>
  </si>
  <si>
    <t>Stand: 15.05.2019</t>
  </si>
  <si>
    <t>bi/Drop Down - Liste für Zelle D6 angepasst: teilstationäre Pflege und KZP entfernt aus Liste</t>
  </si>
  <si>
    <t>bi/ Zelle D8 = 365 Tage (Auswahlmöglichkeit gelöscht)</t>
  </si>
  <si>
    <t>bi/ Zelle E8 = Plausiformel Einrichtungsart zu Öffnungstagen gelöscht =&gt; stat. PE immer 365 Tage</t>
  </si>
  <si>
    <t>bi/ Hinweisfelder zum Eintragen der Belegung in PG2 bis PG4 als Pflichtangabe für teilstationäre Pflege und KZP gelöscht/ stat. entbehrlich</t>
  </si>
  <si>
    <t xml:space="preserve">                  </t>
  </si>
  <si>
    <t>bi/Zelle G6 =&gt; grundsätzl. bei vst. 96% =&gt; bleibt aber weiter Eingabefeld =&gt; desh. auch keine Änderung des PlausiFeldes G7</t>
  </si>
  <si>
    <t>14.05.2019/15.05.2019</t>
  </si>
  <si>
    <t>bi/Inhalte aus Zeile 45 entfernt (Angaben zu Mitarbeiter Beförderung - teilstationäre Pflege)</t>
  </si>
  <si>
    <t>bi/Formel in Zelle I47 angespasst (kein Bezug mehr zu Inhalten aus Zeile 45)</t>
  </si>
  <si>
    <t>bi/Formel in Zelle J47 angespasst (kein Bezug mehr zu Inhalten aus Zeile 45)</t>
  </si>
  <si>
    <t>bi/ neue Nummerierung für freiwillige Dienste/FSJ (bisher 9. jetzt.8.)</t>
  </si>
  <si>
    <t xml:space="preserve">bi/Abbildung der refinanzierten Stellen nach dem Pflegestärkungsgesetz </t>
  </si>
  <si>
    <t>bi/Hinweisfeld in Zelle G6 angepasst auf vst. PE</t>
  </si>
  <si>
    <t>bi/Zelle H64 =&gt; Einfügen Eingabe/Hinweisfeld "Eingabe mit drei Nachkommastellen// keine Berücksichtigung in SGB XI Verhandlung"</t>
  </si>
  <si>
    <t>bi/Angaben zu Mitarbeiter Beförderung (teilstationäre Pflege) entfernt</t>
  </si>
  <si>
    <t>Wäschekennzeichnung</t>
  </si>
  <si>
    <t>bi/unter Pkt 3.3 neu Wäschekennzeichnung aufgenommen</t>
  </si>
  <si>
    <t>Wäschekennzeichnung soll sich automatisch errechnen =&gt; WV für Formel in ZelleJ53</t>
  </si>
  <si>
    <t>3.8</t>
  </si>
  <si>
    <t>bi/ 1 weitere Zeile für sonstige FL eingefügt plus Formelübernahme</t>
  </si>
  <si>
    <t>bi/ in Tab. Q18-V20 =&gt; RVT BB + Orientierungswerte für vst. hinterlegt (Äquivalenzwerte nach Rothgang für vst. gelöscht)</t>
  </si>
  <si>
    <t>bi/Tabellen mit Äquivalenzen nach Rothgang für KZP/TP entfernt</t>
  </si>
  <si>
    <t>bi/Zellen 10/12/14/16 = Zellenhöhe =12,75</t>
  </si>
  <si>
    <t>bi/Zeile 18 + 23 neu eingefügt</t>
  </si>
  <si>
    <t>bi/ B12 neue Bezeichnung: "Pflege inkl. QM (ohne PDL/stellvertretende PDL)  bisherige Bezeichnung: Pflege (inkl. PDL und QM)</t>
  </si>
  <si>
    <t>"1" = vst</t>
  </si>
  <si>
    <t>bi/ Wennfunktion in Zelle S37 entfernt, es gilt nur noch die "1" = vst.</t>
  </si>
  <si>
    <t>bi/Formeln in Q42 bis Q46 wg. Nutzung der Orientierungswerte für Berechnung (direkter Dreisatz) angepasst</t>
  </si>
  <si>
    <t>(Formeln für tst/KZP aus Herleitung PR ohne Belegung entfernt)</t>
  </si>
  <si>
    <t>d) unter d) wird das Ergebnis von c)  noch einmal abgebildet</t>
  </si>
  <si>
    <t xml:space="preserve">   (bisherige Wennfunktion entfernt)</t>
  </si>
  <si>
    <t>bi/EGH PR Forderung und Plausifeld in B 35 bis L 35 = Inhalte entfernt + bedingte Formatierungsregel gelöscht</t>
  </si>
  <si>
    <t>bi/EGH Forderung €/BT in B62 bis B63 = Inhalte entfernt + bedingte Formatierungsregel gelöscht</t>
  </si>
  <si>
    <t>Zelle J52</t>
  </si>
  <si>
    <t>Zelle L52</t>
  </si>
  <si>
    <t>Zelle N52</t>
  </si>
  <si>
    <t>Zelle P52</t>
  </si>
  <si>
    <t>14./15.05.2019</t>
  </si>
  <si>
    <t>Zelle V52</t>
  </si>
  <si>
    <r>
      <t xml:space="preserve"> =</t>
    </r>
    <r>
      <rPr>
        <strike/>
        <sz val="9"/>
        <color rgb="FFFF00FF"/>
        <rFont val="Arial"/>
        <family val="2"/>
      </rPr>
      <t>WENN('Allgemeine Angaben'!D7="vst";</t>
    </r>
    <r>
      <rPr>
        <sz val="9"/>
        <color rgb="FFFF00FF"/>
        <rFont val="Arial"/>
        <family val="2"/>
      </rPr>
      <t>V19-0,03</t>
    </r>
    <r>
      <rPr>
        <strike/>
        <sz val="9"/>
        <color rgb="FFFF00FF"/>
        <rFont val="Arial"/>
        <family val="2"/>
      </rPr>
      <t>;V19)</t>
    </r>
  </si>
  <si>
    <t>bi/PlausiHinweis - "das geforderte PR außerhalb des RVT liegt" in B10/B12/B14/16+B18 + B22 eingefügt</t>
  </si>
  <si>
    <t>bi/L19 fehlende Verknüpfung zu PlausiErgebnis in Zelle Q61 hergestellt, DropDown Hinweis eingefügt</t>
  </si>
  <si>
    <t>bi/Formel in V52 angepasst, ohne Wenn-Funktion und Runden mit 2 Nachkommastellem</t>
  </si>
  <si>
    <t>bi/unter PDL/stellv. PDL neue Zeile eingefügt =&gt; in B20 PlausiFeld eingefügt</t>
  </si>
  <si>
    <t xml:space="preserve">bi/ Formel F20 angepasst: bisher Übernahme VK aus Personalaufwendungen H17 inkl. PDL/ neuer RVT PR Pflege ohne PDL/stellv. PDL =&gt; somit PflegeVK - PDL/stellv. PDL </t>
  </si>
  <si>
    <r>
      <t>Σ</t>
    </r>
    <r>
      <rPr>
        <vertAlign val="superscript"/>
        <sz val="8"/>
        <color rgb="FF0070C0"/>
        <rFont val="Arial"/>
        <family val="2"/>
      </rPr>
      <t xml:space="preserve">VK  </t>
    </r>
    <r>
      <rPr>
        <sz val="8"/>
        <color rgb="FF0070C0"/>
        <rFont val="Arial"/>
        <family val="2"/>
      </rPr>
      <t>von Blatt 3 ohne PDL/stellv. PDL</t>
    </r>
  </si>
  <si>
    <t>Nachrichtliche Angaben zum Zeitpunkt der Antragstellung und nicht Gegenstand dieses Antrages</t>
  </si>
  <si>
    <t>bi/in ZelleD17 PlausiFeld eingefügt, sofern Stichtag mehr als 3 Monate vor Antragstellung liegt, erfolgt ein Hinweis - Antragsstellungsdatum = Datum in der Forderung</t>
  </si>
  <si>
    <t>Berechnung der Belegungsmonate - letzten 6 Monate vor Stichtag</t>
  </si>
  <si>
    <t>Stichtag:</t>
  </si>
  <si>
    <t>Monat 2 vor Stichtag</t>
  </si>
  <si>
    <t>Monat 1 vor Stichtag</t>
  </si>
  <si>
    <t>Monat 3 vor Stichtag</t>
  </si>
  <si>
    <t>Monat 4 vor Stichtag</t>
  </si>
  <si>
    <t>Monat 5 vor Stichtag</t>
  </si>
  <si>
    <t>Monat 6 vor Stichtag</t>
  </si>
  <si>
    <t>bi/Berechnungstabelle für die Herleitung der letzten 6 Kalendermonate vor Stichtag</t>
  </si>
  <si>
    <t>bi/Zelle C37;D37;E37 + C46;C46;E46 =&gt; Bezug zu Tab. KAT, in Tab KAT Berechnung der 6 Kalendermonate rückwirkend ab dem Stichtag</t>
  </si>
  <si>
    <t>Datum</t>
  </si>
  <si>
    <t>bi/Einfügen einer weiteren Zeile für die sonstigen FL - zieht Werte aus Zeile 57 von Tab Sachaufwendungen</t>
  </si>
  <si>
    <t>Pflege inklusive QM, PDL/ stellvertretende PDL</t>
  </si>
  <si>
    <r>
      <rPr>
        <sz val="10"/>
        <color theme="3"/>
        <rFont val="Arial"/>
        <family val="2"/>
      </rPr>
      <t xml:space="preserve">bi/Zelle C10 = bisher "Pflege inklusive QM", neu: "Pflege inklsuive QM, </t>
    </r>
    <r>
      <rPr>
        <b/>
        <u/>
        <sz val="10"/>
        <color theme="3"/>
        <rFont val="Arial"/>
        <family val="2"/>
      </rPr>
      <t>PDL/ stellvertretende PDL"</t>
    </r>
  </si>
  <si>
    <t>bi/ Zeile für FL Wäschekennzeichnung eingefügt + Bemerkung</t>
  </si>
  <si>
    <t>bi/ in Zelle B75 bisher Ort, Datum =&gt; jetzt nur noch Datum</t>
  </si>
  <si>
    <t>check</t>
  </si>
  <si>
    <t>bi/Beschriftung Zelle L6 bisher Empfehlung =&gt; geändert in "check"</t>
  </si>
  <si>
    <t>bi/ Plausifeld B20 angepasst das "RVT Vorgabe = Muss" bei PDL</t>
  </si>
  <si>
    <t>Stand: 20.05.2019/21.05.2019</t>
  </si>
  <si>
    <t>Leiharbeitnehmer</t>
  </si>
  <si>
    <t xml:space="preserve">bi/Zeile 116-120 = Felder für Leiharbeitnehmer (Progn und Ist: VK+Gesamtkosten erfassen)  </t>
  </si>
  <si>
    <t>bi/Werte €/VK für alle PFK =&gt; neu verformelt ohne Berücksichtigung der Leiharbeitnehmer</t>
  </si>
  <si>
    <t>"GfB"</t>
  </si>
  <si>
    <t>AN-Typ</t>
  </si>
  <si>
    <t>bi/ Berechnung der Personalkosten für Geringfügig Beschäftigte in Spalte R (außer für Zellen LANR116:R120) angepasst =&gt; sofern in Spalte F= GfB =&gt; dann rechne mit dem SV-Beitragssatz für GfB, ansonsten rechne mit allgemeinen SV-Beitrag</t>
  </si>
  <si>
    <t>bi/ in Spalte F DropDown (auißer bei F116:F120) für Auswahl GfB eingefügt,</t>
  </si>
  <si>
    <t>bi/Formeln für die Abbildung" %tuale Veränderung Personalkosten je Funktionsbereich" dr. Formatänderung angepasst</t>
  </si>
  <si>
    <t>bi/Format für Abbildung der FKQ angepasst</t>
  </si>
  <si>
    <t>Pseudonym Nummer         (bei geringfügig Beschäftigten bitte GfB eingeben)</t>
  </si>
  <si>
    <r>
      <t xml:space="preserve">bi/PlausiHinweis in J15 entfernt </t>
    </r>
    <r>
      <rPr>
        <strike/>
        <sz val="10"/>
        <color theme="3"/>
        <rFont val="Arial"/>
        <family val="2"/>
      </rPr>
      <t>=WENN(UND('Allgemeine Angaben'!F7&lt;&gt;"4.";I15&gt;0);"Eintragung nur bei Einrichtungen der 4. Generation!";"")</t>
    </r>
  </si>
  <si>
    <r>
      <t>bi/Plausifeld in Zelle E7 entfernt:</t>
    </r>
    <r>
      <rPr>
        <strike/>
        <sz val="11"/>
        <color theme="3"/>
        <rFont val="Arial"/>
        <family val="2"/>
      </rPr>
      <t xml:space="preserve"> =WENN(D6&gt;0;WENN(D6="Wohnpflegeheim";"WPH";""))</t>
    </r>
  </si>
  <si>
    <t>ACHTUNG bedingte Formatierungen in Zelle G15,H15+I15  sowie Zelle I14 funktionieren nicht! - somit Wegfall der Felder Präsenskräfte G15,H15+I15=&gt; in Zelle E14 wird dafür bei 4. Generationen zusätzlich neben den Pflegehilfskräften "/Präsenzkräfte (4.Generation) angezeigt</t>
  </si>
  <si>
    <r>
      <t>bi/neu Berechnung der Personalkosten Pflege dr. Wegfall der formatierten Zellen für die Präsenzkräfte ZelleG15,H15+I15 notwendig: Formel bisher: =WENN(H17=0;"";(((H14*I14)+((H13+H12)*I11))+(H15*I15))/H17) Formel neu:=WENN(H17=0;"";(((H14*I14)+((H13+H12)*I11))</t>
    </r>
    <r>
      <rPr>
        <strike/>
        <sz val="10"/>
        <color theme="3"/>
        <rFont val="Arial"/>
        <family val="2"/>
      </rPr>
      <t>+(H15*I15)</t>
    </r>
    <r>
      <rPr>
        <sz val="10"/>
        <color theme="3"/>
        <rFont val="Arial"/>
        <family val="2"/>
      </rPr>
      <t>)/H17)</t>
    </r>
  </si>
  <si>
    <t>Stand: 22.5.19 - Reihenfolge und Links angespasst (Personalaufwendungen….)</t>
  </si>
  <si>
    <t>Link angepasst - PK-Aufstellung vor Personalaufwendungen</t>
  </si>
  <si>
    <t>22.5.19: Link angepasst - PK-Aufstellung vor Personalaufwendungen</t>
  </si>
  <si>
    <t>bi/Felder für weitere nachrichtliche Angaben eingefügt =&gt; Personal Pflegestärkungsgestz =&gt; § 132g SGB XI</t>
  </si>
  <si>
    <t>bi/Spalte Entgeltgruppe und Stufe = Format Zahl ohne Nachkommastellen</t>
  </si>
  <si>
    <t>bi/Formel in Zelle C121 angepasst- Summe ohne LAN</t>
  </si>
  <si>
    <t>bi/Formeln für Pflege gesamt und PFK in Zeile 227 + 121 angepasst, einzelne Abbildung der Entgeltbestandteile €/VK immer ohne Berücksichtigung der LAN AUSSER in Spalte D/E/R/S</t>
  </si>
  <si>
    <t>Erläuterung der Änderungen gegenüber der Vorversion (Änderungshistorie)</t>
  </si>
  <si>
    <t>Datum der 
Änderung</t>
  </si>
  <si>
    <t>Tabellenblatt</t>
  </si>
  <si>
    <t>Zeile/Spalte</t>
  </si>
  <si>
    <t>Erläuterung der Änderung</t>
  </si>
  <si>
    <t>Hinweise für die Anwender</t>
  </si>
  <si>
    <t>zusätzliches Personal nach § 8 Abs. 6 SGB XI</t>
  </si>
  <si>
    <t>Tage des Stichtagsmonates</t>
  </si>
  <si>
    <t>erster des Stichtagsmonates:</t>
  </si>
  <si>
    <t>bi/ Korrektur der Berechnung der letzten 6 Kalendermonate vor Stichtag</t>
  </si>
  <si>
    <t xml:space="preserve">     Problem: Excel rechnet mit 360 Tagen/Jahr, </t>
  </si>
  <si>
    <t xml:space="preserve">     Lösung:   </t>
  </si>
  <si>
    <t>1. Abbildung der Tage vom 1. des Stichtagsmonates bis zum Stichtag</t>
  </si>
  <si>
    <t xml:space="preserve">    Formel in F22: =Tag(B22)     (B22=Stichtag)</t>
  </si>
  <si>
    <t xml:space="preserve">   also wenn der Stichtag der 1. Tag im Monat ist, dann bilde den Stichtag ab</t>
  </si>
  <si>
    <t xml:space="preserve">    Formel in C23: =Wenn(F22=1;B22;B22-F22+1)</t>
  </si>
  <si>
    <t xml:space="preserve">   ansonsten rechne vom Stichtag die Tage bis zum 1. Kalendertag des Stichtagsmonates zurück</t>
  </si>
  <si>
    <t>2. Abbildung des 1. Kalendertages vom Stichtagsmonat JJJJ</t>
  </si>
  <si>
    <t>3. rechne vom Stichtagsmonatsbeginn jeweils 1 bis 6 Monate zurück in Zelle C24 bis C29</t>
  </si>
  <si>
    <r>
      <t xml:space="preserve">Stand: 29.05.2019      </t>
    </r>
    <r>
      <rPr>
        <sz val="10"/>
        <color theme="7"/>
        <rFont val="Arial"/>
        <family val="2"/>
      </rPr>
      <t>Stand: 04.06.2019</t>
    </r>
  </si>
  <si>
    <t xml:space="preserve">Zelle B72 korr. Bezeichnung §132 g SGB V </t>
  </si>
  <si>
    <r>
      <t xml:space="preserve">Angebot gesundheitliche Versorgungsplanung in der letzten Lebensphase </t>
    </r>
    <r>
      <rPr>
        <sz val="9"/>
        <color theme="1"/>
        <rFont val="Arial"/>
        <family val="2"/>
      </rPr>
      <t>(§132g SGB V)</t>
    </r>
  </si>
  <si>
    <t>Antrag vom:</t>
  </si>
  <si>
    <t xml:space="preserve">  in Zelle K4+L-M4 Erfassungsfeld für Antragsdatum neu eingefügt</t>
  </si>
  <si>
    <t>bi/ Änderungen in der Kopzeile Zeile 4 von Allgemeinen Angaben übernommen</t>
  </si>
  <si>
    <t xml:space="preserve">   Formel zur Abbildung IK: =WENN(L6&gt;0;VERKETTEN("IK";" ";L6);"") von A4 in B4 übernommen</t>
  </si>
  <si>
    <t>Bezüge zu Blatt Allgemeine Angaben hergestellt</t>
  </si>
  <si>
    <t>bi/ in Zelle N5+O5 Antrag vom: Datum eingefügt</t>
  </si>
  <si>
    <t>bi/Kopfzeile in Zelle 4 von Allgemeinen Angaben übernommen - Bezüge hergestellt</t>
  </si>
  <si>
    <t>bi/Kopfzeile in Zelle 4 angepasst - Bezüge zu Allgemeinen Angaben hergestellt</t>
  </si>
  <si>
    <t>bi/Kopfzeile angepasst in Zeile 4 -  Bezüge zu Allgemeinen Angaben hergestellt</t>
  </si>
  <si>
    <t>bi/ Zellen A6 bis E6  verbunden und Test eingefügt "Die Spalten A bis E legt die Einrichtung im Rahmen der Plausibilitätsprüfung auf Anforderung ohne substantirte Begrüdnung vor (§ 32 Abs. 3 Rahmenvertrag)'"</t>
  </si>
  <si>
    <t xml:space="preserve">             </t>
  </si>
  <si>
    <t xml:space="preserve">        Sozialversicherungsbeitrag "geringfügig Beschäftigte"</t>
  </si>
  <si>
    <t>bi/ Spalte zwischen Stufe und Grundgehalt je Stellenanteil eingefügt =&gt; neue Spalte Grundlohn/-gehalt in € je VK</t>
  </si>
  <si>
    <t>bi/ in Spalte Grundlohn/-gehalt je Stellenanteil/Monat = Formel eingefügt =Wennfehler(VK-Anteil mal Grundgehalt je VK;"")</t>
  </si>
  <si>
    <t>Zuschlag nach § 32 Abs. 4 Rahmenvertrag</t>
  </si>
  <si>
    <t>(inkl. Zuschlag nach § 32 Abs. 4 Rahmenvertrag)</t>
  </si>
  <si>
    <t>(inkl. Zuschlag nach     § 32 Abs. 4 Rahmenvertrag)</t>
  </si>
  <si>
    <t>bi/Zelle L29 bisher (inkl. Risiko/Wagnis) =&gt; Bezeichnung neu "inkl. Zuschlag nach § 32 Abs. 4 Rahmenvertrag"</t>
  </si>
  <si>
    <t>bi/Zelle L48 bisher (inkl. Risiko/Wagnis) =&gt; Bezeichnung neu "inkl. Zuschlag nach § 32 Abs. 4 Rahmenvertrag"</t>
  </si>
  <si>
    <t>bi/Zelle B62 bisher "Unternehmerrisiko" =&gt; neue Bezeichnung "Zuschlag nach § 32 Abs. 4 Rahmenvertrag"</t>
  </si>
  <si>
    <t>bi/ZelleD17 Formel angepasst bisher: =WENN(DATEDIF(D16;'Forderung'!B74;"m")&gt;3;"Stichtag liegt mehr als 3 Monate vor Antragstellung zurück, bitte korrigieren";"") neu:  =WENN(DATEDIF(D16;'Allgemeine Angaben'!L4;"m")&gt;3;"Stichtag liegt mehr als 3 Monate vor Antragstellung zurück, bitte korrigieren";"")</t>
  </si>
  <si>
    <t>bi/in Zelle H49 Plausifeld eingefügt: sofern Vereinbarungsbeginn vor Antragstellung liegt =&gt; Hinweis"Vereinbarungsbeginn liegt vor Antragstellung"</t>
  </si>
  <si>
    <r>
      <t xml:space="preserve">bi/Formeln in Zelle J52/L52/N52//52 angepasst =&gt; kein Bezug mehr zu Berechnungen tst./KZP </t>
    </r>
    <r>
      <rPr>
        <sz val="9"/>
        <color theme="7"/>
        <rFont val="Arial"/>
        <family val="2"/>
      </rPr>
      <t>und Wenn Bezug zu "vst" am 04.06.2019 entfernt</t>
    </r>
  </si>
  <si>
    <r>
      <t xml:space="preserve"> =</t>
    </r>
    <r>
      <rPr>
        <strike/>
        <sz val="9"/>
        <color theme="7"/>
        <rFont val="Arial"/>
        <family val="2"/>
      </rPr>
      <t>WENN('Allgemeine Angaben'!D7="vst";</t>
    </r>
    <r>
      <rPr>
        <sz val="9"/>
        <color rgb="FFFF00FF"/>
        <rFont val="Arial"/>
        <family val="2"/>
      </rPr>
      <t>RUNDEN(J12/$P$6+J50;2)</t>
    </r>
    <r>
      <rPr>
        <strike/>
        <sz val="9"/>
        <color rgb="FFFF00FF"/>
        <rFont val="Arial"/>
        <family val="2"/>
      </rPr>
      <t>;WENN('Allgemeine Angaben'!D7&lt;&gt;"vst";Forderung!U69)</t>
    </r>
    <r>
      <rPr>
        <sz val="9"/>
        <color rgb="FFFF00FF"/>
        <rFont val="Arial"/>
        <family val="2"/>
      </rPr>
      <t>)</t>
    </r>
  </si>
  <si>
    <r>
      <t xml:space="preserve"> =</t>
    </r>
    <r>
      <rPr>
        <strike/>
        <sz val="9"/>
        <color theme="7"/>
        <rFont val="Arial"/>
        <family val="2"/>
      </rPr>
      <t>WENN('Allgemeine Angaben'!D7="vst";</t>
    </r>
    <r>
      <rPr>
        <sz val="9"/>
        <color rgb="FFFF00FF"/>
        <rFont val="Arial"/>
        <family val="2"/>
      </rPr>
      <t>RUNDEN(L12/$P$6+L50;2)</t>
    </r>
    <r>
      <rPr>
        <strike/>
        <sz val="9"/>
        <color rgb="FFFF00FF"/>
        <rFont val="Arial"/>
        <family val="2"/>
      </rPr>
      <t>;WENN('Allgemeine Angaben'!D7&lt;&gt;"vst";Forderung!U70)</t>
    </r>
    <r>
      <rPr>
        <sz val="9"/>
        <color rgb="FFFF00FF"/>
        <rFont val="Arial"/>
        <family val="2"/>
      </rPr>
      <t>)</t>
    </r>
  </si>
  <si>
    <r>
      <t xml:space="preserve"> =</t>
    </r>
    <r>
      <rPr>
        <strike/>
        <sz val="9"/>
        <color theme="7"/>
        <rFont val="Arial"/>
        <family val="2"/>
      </rPr>
      <t>WENN('Allgemeine Angaben'!D7="vst";</t>
    </r>
    <r>
      <rPr>
        <sz val="9"/>
        <color rgb="FFFF00FF"/>
        <rFont val="Arial"/>
        <family val="2"/>
      </rPr>
      <t>RUNDEN(N12/$P$6+L50;2)</t>
    </r>
    <r>
      <rPr>
        <strike/>
        <sz val="9"/>
        <color rgb="FFFF00FF"/>
        <rFont val="Arial"/>
        <family val="2"/>
      </rPr>
      <t>;WENN('Allgemeine Angaben'!D7&lt;&gt;"vst";Forderung!U71)</t>
    </r>
    <r>
      <rPr>
        <sz val="9"/>
        <color rgb="FFFF00FF"/>
        <rFont val="Arial"/>
        <family val="2"/>
      </rPr>
      <t>)</t>
    </r>
  </si>
  <si>
    <r>
      <t xml:space="preserve"> =</t>
    </r>
    <r>
      <rPr>
        <strike/>
        <sz val="9"/>
        <color theme="7"/>
        <rFont val="Arial"/>
        <family val="2"/>
      </rPr>
      <t>WENN('Allgemeine Angaben'!D7="vst";</t>
    </r>
    <r>
      <rPr>
        <sz val="9"/>
        <color rgb="FFFF00FF"/>
        <rFont val="Arial"/>
        <family val="2"/>
      </rPr>
      <t>RUNDEN(P12/$P$6+L50;2)</t>
    </r>
    <r>
      <rPr>
        <strike/>
        <sz val="9"/>
        <color rgb="FFFF00FF"/>
        <rFont val="Arial"/>
        <family val="2"/>
      </rPr>
      <t>;WENN('Allgemeine Angaben'!D7&lt;&gt;"vst";Forderung!U72)</t>
    </r>
    <r>
      <rPr>
        <sz val="9"/>
        <color rgb="FFFF00FF"/>
        <rFont val="Arial"/>
        <family val="2"/>
      </rPr>
      <t>)</t>
    </r>
  </si>
  <si>
    <t>Grundlohn/-gehalt in € je VK/Monat</t>
  </si>
  <si>
    <t xml:space="preserve">bi/in Zelle B19 Rechtschreibfehler korrigiert bei stellv. PDL </t>
  </si>
  <si>
    <r>
      <rPr>
        <sz val="9"/>
        <color theme="7"/>
        <rFont val="Arial"/>
        <family val="2"/>
      </rPr>
      <t xml:space="preserve">bi/ B74 Antragsdatum wird aus Allgemeinen Angaben automatisch gezogen </t>
    </r>
    <r>
      <rPr>
        <sz val="9"/>
        <color theme="3"/>
        <rFont val="Arial"/>
        <family val="2"/>
      </rPr>
      <t xml:space="preserve">/ Hinweisfeld in B76 =&gt; Datum der Antragstellung = Pflichtfeld </t>
    </r>
    <r>
      <rPr>
        <sz val="9"/>
        <color theme="7"/>
        <rFont val="Arial"/>
        <family val="2"/>
      </rPr>
      <t>entbehrlich</t>
    </r>
  </si>
  <si>
    <t xml:space="preserve">bi/Zelle A4 nicht mehr verbunden von A bis M </t>
  </si>
  <si>
    <t>bi/in Zelle E10/E12/E14/E16/E20/E22/E24 Nummerierung aus Zellen B52 bis B59 übernommen, Bezüge hergestellt</t>
  </si>
  <si>
    <t>bi/neue Zeile eingefügt in E24 damit Platz für Wäschekennzeichnung - Zelle F22 mit C58 und F24 mit C59 verbunden</t>
  </si>
  <si>
    <t>bi/in Zelle L5 = Plausifeld eingefügt, Antragsdatum = Pflichtfeld</t>
  </si>
  <si>
    <t>bi/ Antragsdatum auf Blatt Forderung soll manuell erfasst werden = Formel vom 04.06.2019 in Zelle B74 gelöscht</t>
  </si>
  <si>
    <t>bi/ Zelle R52 + T52 Formel angepasst = =&gt; damit nicht 0 € Werte angezeigt werden</t>
  </si>
  <si>
    <t xml:space="preserve">    Formel R52 bisher: (RUNDEN(R38+R26+R16;2)   Formel neu:=WENN(RUNDEN(R38+R26+R16;2)=0;"";RUNDEN(R38+R26+R16;2))</t>
  </si>
  <si>
    <t xml:space="preserve">    Formel T52 bisher:  = (Runden(T26;2)                     Formel neu: = Wenn(T26=0;"";Runden(T26;2))</t>
  </si>
  <si>
    <t>(ohne Personalnebenkosten, Zuschlag nach § 32 Abs. 4 Rahmenvertrag)</t>
  </si>
  <si>
    <t>bi/Zelle I7 bisher (ohne PNK, UR) -&gt; neu ohne PNK, Zuschlag nach § 32 Abs. 4 RVT</t>
  </si>
  <si>
    <t>Stand: 03.07.2019</t>
  </si>
  <si>
    <t>Personalkostenaufstellung nach Tätigkeit und Vergütungsgruppe</t>
  </si>
  <si>
    <t>bi/Spalte A- E = Inhalte zu Ist-Pkosten entfernt siehe Abstimmung AG VM und VH-RVT</t>
  </si>
  <si>
    <t>bi/ Angaben zur prozentualen Entwicklung der Gehälter je FktBereich entbehrlich mit Löschung der Spalten A-E - Ist.Pkosten N-O122;225,246,275,298,331,377,364</t>
  </si>
  <si>
    <t>bi/Spaltenbreiten angepasst</t>
  </si>
  <si>
    <t>Stand: 01.08.2019</t>
  </si>
  <si>
    <t>1.1. Pflegefachkräfte</t>
  </si>
  <si>
    <t>1.2. Pflegehilfskräfte</t>
  </si>
  <si>
    <t>Summe Pflegefachkräfte:</t>
  </si>
  <si>
    <t>Summe Pflegehilfskräfte:</t>
  </si>
  <si>
    <t>2. Betreuung</t>
  </si>
  <si>
    <t>Summe Betreuung:</t>
  </si>
  <si>
    <t>3. Zusätzliche Betreuung und Aktivierung nach § 43b SGB XI</t>
  </si>
  <si>
    <t>Summe § 43b SGB XI:</t>
  </si>
  <si>
    <t>4. Leitung und Verwaltung</t>
  </si>
  <si>
    <t>Summe Leitung und Verwaltung:</t>
  </si>
  <si>
    <t>5. Hauswirtschaft</t>
  </si>
  <si>
    <t>Summe Hauswirtschaft:</t>
  </si>
  <si>
    <t>6. Küche</t>
  </si>
  <si>
    <t>Summe Küche:</t>
  </si>
  <si>
    <t>7. Haustechnik</t>
  </si>
  <si>
    <t>Summe Haustechnik:</t>
  </si>
  <si>
    <t>Freiwillige Dienste</t>
  </si>
  <si>
    <t>FSJ</t>
  </si>
  <si>
    <t>Summe sonstige Mitarbeiter:</t>
  </si>
  <si>
    <t>bi/sonstige Mitarbeiterstellen ohne Nachkommastellen erfassen =&gt; Anpassung Format in Zelle L380 bis L382 =&gt; mit "0" Dezimalstellen</t>
  </si>
  <si>
    <t>bi/in Zelle H60/H62 Eingabehinweis entfernt</t>
  </si>
  <si>
    <t>bi/Zelle L380/L381 Datenüberprüfung so eingestellt, dass eine Erfassung von Stellen mit Naschkommastellen nicht möglich ist</t>
  </si>
  <si>
    <t>bi/in Spalte B = Erfassung der VK-Stellen =&gt; Erfassungshinweis für VK Stellen mit 3 Nachkommastellen hinterlegt</t>
  </si>
  <si>
    <t>Orientierungswert</t>
  </si>
  <si>
    <t>lt. RVT</t>
  </si>
  <si>
    <t>BB max</t>
  </si>
  <si>
    <t>BB min</t>
  </si>
  <si>
    <t>Stand 6/2019</t>
  </si>
  <si>
    <t>bi/ Ableitung der RVT-BB analog RVT</t>
  </si>
  <si>
    <t>bi/bedingte Formatierung in Zellen B43 bis L43 entfernt, EEE soll immer abgebildet werden, da der Antrag jetzt nur noch für vst. PE gilt!</t>
  </si>
  <si>
    <r>
      <t xml:space="preserve">bi/ Felder für nachrichtlichtlich Investitionskosten aus Antrag entfernt, dafür aber nachrichtliche Information zur Ausbildung eingefügt (Ausbildung/Praktikumsbetrieb ja/nein// </t>
    </r>
    <r>
      <rPr>
        <strike/>
        <sz val="10"/>
        <color rgb="FF7030A0"/>
        <rFont val="Arial"/>
        <family val="2"/>
      </rPr>
      <t>Zuwendungen aus Ausgleichsfond erhalten ja/nein</t>
    </r>
    <r>
      <rPr>
        <sz val="10"/>
        <color rgb="FF7030A0"/>
        <rFont val="Arial"/>
        <family val="2"/>
      </rPr>
      <t>)</t>
    </r>
  </si>
  <si>
    <t>Ausbildungsbetrieb und/oder Praktikumsbetrieb nach dem Pflegeberufegesetz</t>
  </si>
  <si>
    <r>
      <t>Anmerkung</t>
    </r>
    <r>
      <rPr>
        <sz val="10"/>
        <color theme="1"/>
        <rFont val="Arial"/>
        <family val="2"/>
      </rPr>
      <t>: Sofern als Art der Einrichtung "</t>
    </r>
    <r>
      <rPr>
        <b/>
        <sz val="10"/>
        <color theme="1"/>
        <rFont val="Arial"/>
        <family val="2"/>
      </rPr>
      <t>Wachkoma</t>
    </r>
    <r>
      <rPr>
        <sz val="10"/>
        <color theme="1"/>
        <rFont val="Arial"/>
        <family val="2"/>
      </rPr>
      <t>" gewählt wurde, ist die "Empfehlung zur Versorgung von Menschen im Wachkoma (Phase F) in vollstationären Einrichtungen nach dem SGB XI im Freistaat Sachsen" in der jeweils gültigen Fassung zu berücksichtigen.</t>
    </r>
  </si>
  <si>
    <r>
      <t>Fremdleistungen</t>
    </r>
    <r>
      <rPr>
        <sz val="10"/>
        <color rgb="FF000000"/>
        <rFont val="Arial"/>
        <family val="2"/>
      </rPr>
      <t xml:space="preserve"> sind Leistungen durch Dritte.</t>
    </r>
  </si>
  <si>
    <r>
      <t>Leistungen des Trägers</t>
    </r>
    <r>
      <rPr>
        <sz val="10"/>
        <color rgb="FF000000"/>
        <rFont val="Arial"/>
        <family val="2"/>
      </rPr>
      <t xml:space="preserve"> sind Leistungen, die nicht durch Personal der Einrichtung, sondern beim bzw. durch den Träger erbracht werden.</t>
    </r>
  </si>
  <si>
    <t>- Lebensmittel</t>
  </si>
  <si>
    <t>- Getränke</t>
  </si>
  <si>
    <t>- hochkalorische Lebensmittel</t>
  </si>
  <si>
    <t>- diätische Lebensmittel</t>
  </si>
  <si>
    <t>- Lebensmittelaufwand für fremdbezogene Verpflegung</t>
  </si>
  <si>
    <t>- keine Sondennahrung</t>
  </si>
  <si>
    <t>- keine Lebensmittel für Externe (Betreutes Wohnen, Kindergarten o.Ä.)</t>
  </si>
  <si>
    <t>- bei Fremdbezug der Verpflegung nur Lebensmittel, im Übrigen siehe Fremdleistung Küche</t>
  </si>
  <si>
    <t>- zum Verbrauch bestimmte Pflegehilfsmittel (z.B. Desinfektionsmittel, saugende Bettschutzeinlagen zum Einmalgebrauch, Schutzbekleidung wie Fingerlinge, Einmalhandschuhe, Mundschutz und Schutzschürzen)</t>
  </si>
  <si>
    <t xml:space="preserve">- soweit dem Pflegebedürftigen eine Beschaffung nicht möglich ist, Aufwand für einmalige Ausstattung mit geeigneten Standardprodukten für die Körperhygiene und Körperpflege (Duschgel, Zahnbürste, Zahnpasta) </t>
  </si>
  <si>
    <t>- Pflegedokumentation (auch Software) einschließlich Wartung und Pflege der Software (z.B. Updates, Hotlines)</t>
  </si>
  <si>
    <t>- Fachliteratur "Pflege"</t>
  </si>
  <si>
    <t>- Erste-Hilfe-Ausstattung</t>
  </si>
  <si>
    <t>- kein Inkontinenzmaterial nach SGB V</t>
  </si>
  <si>
    <t>- keine sonstigen Hilfsmittel nach SGB V</t>
  </si>
  <si>
    <t>- aktivierungsfähige Pflegehilfsmittel (z.B. Antidekubitussysteme -sofern keine SGB V-Leistung-, Kopfwaschanlagen, Bettpfannen) werden über Investitionskosten finanziert</t>
  </si>
  <si>
    <t>- Anschaffung der Hardware der Pflegedokumentation über Investkosten</t>
  </si>
  <si>
    <t>- kein Aufwand der Dauerversorgung für die übliche Körper- und Gesundheitspflege (z.B. Friseur, Monatshygiene, persönliche Toilettenartikel)</t>
  </si>
  <si>
    <t xml:space="preserve">- Wasserver- und Entsorgung (Kosten des Verbrauchs von Wasser und Kosten/Gebühren für die Entwässerung; keine Beiträge)   </t>
  </si>
  <si>
    <t>- Energie (Elektrizität)</t>
  </si>
  <si>
    <t>- Brennstoffe (Gas, Heizöl, Fernwärme, Kohle)</t>
  </si>
  <si>
    <t>- Kraftstoffe für Versorgungsfahrten</t>
  </si>
  <si>
    <t>- bei Mietverträgen: Betriebskosten</t>
  </si>
  <si>
    <t>- soweit Fremdleistungen in der Einrichtung erbracht werden, ist zur Zuordnung der Sachkostenanteile Stellung zu nehmen</t>
  </si>
  <si>
    <t>- soweit durch die Einrichtung Leistungen für Dritte (z.B. Betreutes Wohnen, Kindergarten, Cafeteria) erbracht werden, sind die entsprechenden Kostenanteile abzuziehen</t>
  </si>
  <si>
    <t>- soweit mehrere Versorgungsangebote unter einem Dach vorgehalten werden, sind die Kosten entsprechend zuzuordnen</t>
  </si>
  <si>
    <t xml:space="preserve">- Kraftstoffe nicht für Fahrkosten der Tagespflege </t>
  </si>
  <si>
    <t>- Büromaterial</t>
  </si>
  <si>
    <t>- Bankgebühren (keine Zinsen)</t>
  </si>
  <si>
    <t>- Telefonkosten</t>
  </si>
  <si>
    <t>- Porto</t>
  </si>
  <si>
    <t>- Öffentlichkeitsarbeit</t>
  </si>
  <si>
    <t>- Personalbeschaffungskosten</t>
  </si>
  <si>
    <t>- Heimzeitung</t>
  </si>
  <si>
    <t>- Fachliteratur (nicht Pflege)</t>
  </si>
  <si>
    <t>- Reisekosten im Rahmen von Verwaltungsangelegenheiten</t>
  </si>
  <si>
    <t>- Rechts- und Steuerberatungskosten*</t>
  </si>
  <si>
    <r>
      <t>-</t>
    </r>
    <r>
      <rPr>
        <i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Geschäftsführung*</t>
    </r>
  </si>
  <si>
    <t>- Zentraler Einkauf*</t>
  </si>
  <si>
    <t>- Zentrale (Finanz-)Buchhaltung*</t>
  </si>
  <si>
    <t>- Zentrale Personalverwaltung und Gehaltsabrechnung*</t>
  </si>
  <si>
    <t>- Controlling*</t>
  </si>
  <si>
    <t>- Datenschutzbeauftragter*</t>
  </si>
  <si>
    <t>- Facilitymanagement*</t>
  </si>
  <si>
    <t>- Zentraler Verwaltungsbedarf*</t>
  </si>
  <si>
    <t>- Betriebsrat*</t>
  </si>
  <si>
    <t>- Verwaltungsumlage*</t>
  </si>
  <si>
    <t>- sonstige Kosten der Verwaltung des Trägers*</t>
  </si>
  <si>
    <t>siehe Fremdleistung Verwaltung</t>
  </si>
  <si>
    <t>* Der betriebsinterne Umlagenschlüssel auf die Einrichtung ist darzustellen!</t>
  </si>
  <si>
    <t>- Aufwand für pflegebezogene Betreuung und Beschäftigung inkl. § 43b (z.B. Bastelbedarf, Tageszeitung, Spiele, Tierhaltung)</t>
  </si>
  <si>
    <t>- Aufwand für Gemeinschaftsveranstaltungen (z.B. Feiern, Geschenke, kulturelle Betreuung, Ausflüge, Freizeitgestaltung, Hausschmuck, Heimbücherei)</t>
  </si>
  <si>
    <t>- Wäschereinigungsmittel, Pflegemittel</t>
  </si>
  <si>
    <t>- Gebäude- und Raumreinigungsmittel</t>
  </si>
  <si>
    <t>- Geschirrspülmittel</t>
  </si>
  <si>
    <t>- Flächendesinfektionsmittel</t>
  </si>
  <si>
    <t>- Seife</t>
  </si>
  <si>
    <t>- Toilettenpapier</t>
  </si>
  <si>
    <t>- Streusalz</t>
  </si>
  <si>
    <t>- Sachmittel Gartenpflege</t>
  </si>
  <si>
    <t>- Müllsäcke</t>
  </si>
  <si>
    <t>- nicht aktivierungsfähige Wirtschaftsgüter</t>
  </si>
  <si>
    <t>- wie steuerrechtliche Maßgaben:</t>
  </si>
  <si>
    <r>
      <t>&lt; 250 €</t>
    </r>
    <r>
      <rPr>
        <b/>
        <sz val="14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Wirtschaftsbedarf</t>
    </r>
  </si>
  <si>
    <r>
      <t>&gt; 250 €</t>
    </r>
    <r>
      <rPr>
        <b/>
        <sz val="14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Investkosten</t>
    </r>
  </si>
  <si>
    <t>- Steuern (Grundsteuer, KfZ-Steuer)</t>
  </si>
  <si>
    <t>- Abgaben und Gebühren (z.B. GEZ, GEMA, Müllentsorgung, Straßenreinigung, TÜV, Schornsteinfeger, Aufschaltung der Brandmeldeanlagen)</t>
  </si>
  <si>
    <t>- Versicherungen (z.B. Gebäudehaftpflichtversicherung, KfZ-Versicherung, Betriebshaftpflichtversicherung, Elementarversicherung)</t>
  </si>
  <si>
    <t>- Verbandsbeiträge</t>
  </si>
  <si>
    <t>- Aufzug</t>
  </si>
  <si>
    <t>- Pflegebetten und sonst. elektrische Geräte</t>
  </si>
  <si>
    <t>- Rufanlage</t>
  </si>
  <si>
    <t>- Pflegerollstühle, -rollatoren</t>
  </si>
  <si>
    <t>- Pflegebadewanne, -lifter</t>
  </si>
  <si>
    <t>- Kopierer</t>
  </si>
  <si>
    <t>- Brandschutz- und -meldeanlagen</t>
  </si>
  <si>
    <t>- Automatiktüren</t>
  </si>
  <si>
    <t>- Lüftungsanlagen</t>
  </si>
  <si>
    <t>- Telefonanlage</t>
  </si>
  <si>
    <t>- EDV-Anlage</t>
  </si>
  <si>
    <t>- technische Anlagen (z.B. Heizung)</t>
  </si>
  <si>
    <t>- Aufwandsentschädigung für ehrenamtliche Mitarbeiter (soweit nicht anderweitig finanziert)</t>
  </si>
  <si>
    <t>- sonstige nicht zuordenbare Kosten</t>
  </si>
  <si>
    <t xml:space="preserve">Aufwand für die bewohnerbezogene Wäschekennzeichnung </t>
  </si>
  <si>
    <t>unabhängig ob interne oder externe Leistung</t>
  </si>
  <si>
    <t>bi/ersatzloser Austausch der bisherigen Hinweise - Hinweise von vom 31.07.2019 eingefügt</t>
  </si>
  <si>
    <t>bi/in allen Erfassungsfeldern für die VK bei Daten =&gt; Datenüberprüfung =&gt; eine benutzerdefinierte Eingaberegel hinterlegt - Erfassung begranzt auf 3 Nachkommastellen</t>
  </si>
  <si>
    <t>Stand: 13.08.2019</t>
  </si>
  <si>
    <t>bi/bisher wurden die Personalkosten Pflege gesamt auf die einzelnen PG mittels PR und Belegung dr einzelnen PG verteilt, mit dem neuen RVT wird der VK-Anteil der PDL/stellv. aus den PR der PG herausgelöst und muss deshalb zusätzlich mit eingerechnet werden =&gt; für PDL/stellv. wird mittels einer internen PR der VK-Anteil mit berücksichtigt</t>
  </si>
  <si>
    <t>bi/Zelle H60+H62 Bezug zur Personalkostenaufstellung entfernt, Zellen sind wieder Eingaqbefelder</t>
  </si>
  <si>
    <t>bi/H12/H13+H15 % Angaben für SV+bAV = 3 Nachkommastellen</t>
  </si>
  <si>
    <t xml:space="preserve">bi/B20 = Formel für Plausiabgleich VK Umfang PDL angepasst, Hinweis erfolgt sofern PDL VK ungleich RVT Umfang </t>
  </si>
  <si>
    <t xml:space="preserve"> =&gt; Pflege Zelle H20: =WENN(H17&lt;&gt;Personalkostenaufstellung!B227;"VK-Prognose entspricht nicht dem VK-Umfang in der Mappe Personalkostenaufstellung";"")</t>
  </si>
  <si>
    <t xml:space="preserve"> =&gt; Betreuung Zelle H27: =WENN(H26&lt;&gt;Personalkostenaufstellung!B245;"VK-Prognose entspricht nicht dem VK-Umfang in der Mappe Personalkostenaufstellung";"")</t>
  </si>
  <si>
    <t xml:space="preserve"> =&gt; 43 b Zelle H31: =WENN(H29&lt;&gt;Personalkostenaufstellung!B274;"VK-Prognose entspricht nicht dem VK-Umfang in der Mappe Personalkostenaufstellung";"")</t>
  </si>
  <si>
    <t xml:space="preserve">  =&gt;LuV Zelle H35: =WENN(H34&lt;&gt;Personalkostenaufstellung!B297;"VK-Prognose entspricht nicht dem VK-Umfang in der Mappe Personalkostenaufstellung";"")</t>
  </si>
  <si>
    <t xml:space="preserve"> =&gt; HW ZelleH40: =WENN(H39&lt;&gt;Personalkostenaufstellung!B330;"VK-Prognose entspricht nicht dem VK-Umfang in der Mappe Personalkostenaufstellung";"")</t>
  </si>
  <si>
    <t xml:space="preserve"> =&gt; Küche Zelle H42: =WENN(H41&lt;&gt;Personalkostenaufstellung!B363;"VK-Prognose entspricht nicht dem VK-Umfang in der Mappe Personalkostenaufstellung";"")</t>
  </si>
  <si>
    <t>bi/PlausiAbgleich zwischen den VKProgn. in Tab Personalaufwendungen und in der PKL je Funktionsbereich eingefügt, sofern VKFord &lt;&gt; mit PKL Angabe erfolgt ein Hinweis je Funktionsbereich</t>
  </si>
  <si>
    <t xml:space="preserve"> =&gt; HAT Zelle H44: =WENN(H43&lt;&gt;Personalkostenaufstellung!B376;"VK-Prognose entspricht nicht dem VK-Umfang in der Mappe Personalkostenaufstellung";"")</t>
  </si>
  <si>
    <t xml:space="preserve"> =&gt; Freiwillige Dienste Zelle H61: =WENN(H60&lt;&gt;Personalkostenaufstellung!L380;"Stellenprognose entspricht nicht dem Stellenumfang in der Mappe Personalkostenaufstellung";"")</t>
  </si>
  <si>
    <t xml:space="preserve"> =&gt; FSJ Zelle H63: =WENN(H62&lt;&gt;Personalkostenaufstellung!L381;"Stellenprognose entspricht nicht dem Stellenumfang in der Mappe Personalkostenaufstellung";"")</t>
  </si>
  <si>
    <t>bi/ in Zeile 61 Spaltenhöhe auf 13,5 erhöht</t>
  </si>
  <si>
    <t xml:space="preserve">    zusätzlich eine Wennfunktion eingefügt = Wenn Stichtag leer, dann anderen Felder der Tabelle A21 bis F29 auch leer</t>
  </si>
  <si>
    <t>bi/ bei leeren Antrag werden dann in der Belegung die Monate mit "#Wert!" angeben, deshalb</t>
  </si>
  <si>
    <t xml:space="preserve">    in Zellen B22;F22;C23 bis C29 = zu den bestehenden Formeln ein Wennfehler(bestehende Formel;"") eingefügt</t>
  </si>
  <si>
    <t>bi/ Begrenzung für Erfassung der VK Stellen auf maximal 3 Nachkommastellen funktioniert nicht zu 100% (excel-Problem - Anfrage bei KubusIT-&gt; Vorschlag nicht so akzeptabel), deshalb Datenüberprüfung nur mit Eingabehinweis versehen und Formel für bedingte Eingabe entfernt</t>
  </si>
  <si>
    <t>8. Sonstige Mitarbeiter</t>
  </si>
  <si>
    <t>bi/Hinweistext analog Fr. Füge in Zelle D17 angepasst</t>
  </si>
  <si>
    <t>bi/Formeln in Spalte G-M227 angepasst Punktrechnung vor Strichrechnung siehe Hinweis Fr. Füge vom 19.08.2019</t>
  </si>
  <si>
    <t xml:space="preserve">   </t>
  </si>
  <si>
    <t>bi/ Anpassung der Berechnung (Vereinfachung) vom 13.08.2019 entspr. Vorschlag Hr. Pätzold vom 22.08.2019</t>
  </si>
  <si>
    <t>bi/Vorschlag von Dr. Morgenstern soll jetzt die Endlösung sein (KSV + AOK Vorschlag Rechnung mit PR)</t>
  </si>
  <si>
    <t>Belegung</t>
  </si>
  <si>
    <t>PR</t>
  </si>
  <si>
    <t>% Ansatz für Verteilung Pkosten Pflege</t>
  </si>
  <si>
    <t>VK nach PR</t>
  </si>
  <si>
    <t>PDL lt. TAB Personalaufw.</t>
  </si>
  <si>
    <t>Summe:</t>
  </si>
  <si>
    <t>Gesamt VK Pflege inkl PDL/stellv.</t>
  </si>
  <si>
    <t>PK-Pflege</t>
  </si>
  <si>
    <r>
      <t xml:space="preserve">  =(...) </t>
    </r>
    <r>
      <rPr>
        <strike/>
        <u/>
        <sz val="9"/>
        <color theme="7" tint="-0.249977111117893"/>
        <rFont val="Arial"/>
        <family val="2"/>
      </rPr>
      <t>+ ($D17*$F17/Personalaufwendungen!$H$17*Belegung! je PG/runden(Allgemeine AngabenL44/PersonalaufwendungenH12;2))</t>
    </r>
  </si>
  <si>
    <r>
      <t xml:space="preserve">in den Zelle G17/I17;K17;M17;O17 wurden wie folgt ergänzt </t>
    </r>
    <r>
      <rPr>
        <strike/>
        <sz val="9"/>
        <color theme="7" tint="-0.249977111117893"/>
        <rFont val="Arial"/>
        <family val="2"/>
      </rPr>
      <t>(runden notw., da ansonsten zu hohe Abweichungen):</t>
    </r>
  </si>
  <si>
    <t xml:space="preserve">    =Gesamtpersonalkosten Pflege (siehe Zelle D17) werden nach einem prozentualen Verteiler auf die einzelnen PG verteilt - siehe Hilfstabelle in Tab KAT A31 bis F39</t>
  </si>
  <si>
    <t xml:space="preserve">      (keine direkte Berechnung mit PR mehr)</t>
  </si>
  <si>
    <t>bi/in Zeile 56 noch 2 weitere Zeilen eingefügt</t>
  </si>
  <si>
    <t>steuerfreie Sachbezüge im Sinne § 8 Abs. 2 EStG</t>
  </si>
  <si>
    <t>bi/in Zeile 57 Feld für die Erfassung von steuerfreien Sachbezügen im Sinne § 8 Abs. 2 EStG eingefügt</t>
  </si>
  <si>
    <t>bi/ Verteilung des Betrages nach § 8 Abs. 2 EStG mittels %-Satz auf die Funktionsbereiche analog PNK</t>
  </si>
  <si>
    <t xml:space="preserve">     deshalb in Zelle I57 Formel eingefügt WENNFEHLER(RUNDEN(J57/I47;4);"") =&gt; Berechnung analog PNK %</t>
  </si>
  <si>
    <t xml:space="preserve">     J17 = WENNFEHLER((H17*I17)*(1+pnk+I57)*(1+risiko);"")</t>
  </si>
  <si>
    <t xml:space="preserve">     J26 =WENNFEHLER((H26*I26)*(1+pnk+I57)*(1+risiko);"")</t>
  </si>
  <si>
    <t xml:space="preserve">     J29  =WENNFEHLER((H29*I29)*(1+pnk+I57)*(1+risiko);"")</t>
  </si>
  <si>
    <t>bi/Zelle C59 bisher "Unternehmerrisiko" =&gt; neue Bezeichnung "Zuschlag nach § 32 Abs. 4 Rahmenvertrag"</t>
  </si>
  <si>
    <t xml:space="preserve">     J39 =WENNFEHLER((H39*I39)*(1+pnk+I57)*(1+risiko);"")</t>
  </si>
  <si>
    <t xml:space="preserve">     J41 =WENNFEHLER((H41*I41)*(1+pnk+I57)*(1+risiko);"")</t>
  </si>
  <si>
    <t xml:space="preserve">     J34 =WENNFEHLER((J34*K34)*(1+pnk+I57)*(1+risiko);"")</t>
  </si>
  <si>
    <t xml:space="preserve">     J43 =WENNFEHLER((H43*I43)*(1+pnk+I57)*(1+risiko);"")</t>
  </si>
  <si>
    <t>bi/Formeln in den Zellen D17 bis D23 angepasst für Berücksichtigung der steuerfreien Sachbezüge nach § 8 Abs. 2 EStG</t>
  </si>
  <si>
    <t xml:space="preserve">  D22 =Personalaufwendungen!I41*Personalaufwendungen!H41*(1+pnk+Personalaufwendungen!I57)*(1+risiko)</t>
  </si>
  <si>
    <r>
      <t xml:space="preserve">  D17 =Personalaufwendungen!I17*Personalaufwendungen!H17*(1+pnk+</t>
    </r>
    <r>
      <rPr>
        <u/>
        <sz val="10"/>
        <color rgb="FF7030A0"/>
        <rFont val="Arial"/>
        <family val="2"/>
      </rPr>
      <t>Personalaufwendungen!I57</t>
    </r>
    <r>
      <rPr>
        <sz val="10"/>
        <color rgb="FF7030A0"/>
        <rFont val="Arial"/>
        <family val="2"/>
      </rPr>
      <t>)*(1+risiko)</t>
    </r>
  </si>
  <si>
    <r>
      <t xml:space="preserve">  D18 =Personalaufwendungen!I26*Personalaufwendungen!H26*(1+pnk+</t>
    </r>
    <r>
      <rPr>
        <u/>
        <sz val="10"/>
        <color rgb="FF7030A0"/>
        <rFont val="Arial"/>
        <family val="2"/>
      </rPr>
      <t>Personalaufwendungen!I57</t>
    </r>
    <r>
      <rPr>
        <sz val="10"/>
        <color rgb="FF7030A0"/>
        <rFont val="Arial"/>
        <family val="2"/>
      </rPr>
      <t>)*(1+risiko)</t>
    </r>
  </si>
  <si>
    <r>
      <t xml:space="preserve">  D19 =Personalaufwendungen!I29*Personalaufwendungen!H29*(1+pnk+</t>
    </r>
    <r>
      <rPr>
        <u/>
        <sz val="10"/>
        <color rgb="FF7030A0"/>
        <rFont val="Arial"/>
        <family val="2"/>
      </rPr>
      <t>Personalaufwendungen!I57</t>
    </r>
    <r>
      <rPr>
        <sz val="10"/>
        <color rgb="FF7030A0"/>
        <rFont val="Arial"/>
        <family val="2"/>
      </rPr>
      <t>)*(1+risiko)</t>
    </r>
  </si>
  <si>
    <r>
      <t xml:space="preserve">  D20 =Personalaufwendungen!I34*Personalaufwendungen!H34*(1+pnk+</t>
    </r>
    <r>
      <rPr>
        <u/>
        <sz val="10"/>
        <color rgb="FF7030A0"/>
        <rFont val="Arial"/>
        <family val="2"/>
      </rPr>
      <t>Personalaufwendungen!I57</t>
    </r>
    <r>
      <rPr>
        <sz val="10"/>
        <color rgb="FF7030A0"/>
        <rFont val="Arial"/>
        <family val="2"/>
      </rPr>
      <t>)*(1+risiko)</t>
    </r>
  </si>
  <si>
    <r>
      <t xml:space="preserve">  D21 =Personalaufwendungen!I39*Personalaufwendungen!H39*(1+pnk+</t>
    </r>
    <r>
      <rPr>
        <u/>
        <sz val="10"/>
        <color rgb="FF7030A0"/>
        <rFont val="Arial"/>
        <family val="2"/>
      </rPr>
      <t>Personalaufwendungen!I57</t>
    </r>
    <r>
      <rPr>
        <sz val="10"/>
        <color rgb="FF7030A0"/>
        <rFont val="Arial"/>
        <family val="2"/>
      </rPr>
      <t>)*(1+risiko)</t>
    </r>
  </si>
  <si>
    <r>
      <t xml:space="preserve">  D23 =Personalaufwendungen!I43*Personalaufwendungen!H43*(1+pnk+</t>
    </r>
    <r>
      <rPr>
        <u/>
        <sz val="10"/>
        <color rgb="FF7030A0"/>
        <rFont val="Arial"/>
        <family val="2"/>
      </rPr>
      <t>Personalaufwendungen!I57</t>
    </r>
    <r>
      <rPr>
        <sz val="10"/>
        <color rgb="FF7030A0"/>
        <rFont val="Arial"/>
        <family val="2"/>
      </rPr>
      <t>)*(1+risiko)</t>
    </r>
  </si>
  <si>
    <t xml:space="preserve">     Formel in folgenden Zellen wurden angepasst (für sv-freier Sachbezug wird UR mit berechnet,die bisherige Berechnung bleibt grds. weiter bestehen, aber nicht die Steigerung der Steigerung der Steigerung sein):</t>
  </si>
  <si>
    <r>
      <t xml:space="preserve">04.06.2019/ </t>
    </r>
    <r>
      <rPr>
        <sz val="9"/>
        <color rgb="FF09D2E7"/>
        <rFont val="Arial"/>
        <family val="2"/>
      </rPr>
      <t>06.06.2019/</t>
    </r>
    <r>
      <rPr>
        <sz val="9"/>
        <color theme="2" tint="-0.499984740745262"/>
        <rFont val="Arial"/>
        <family val="2"/>
      </rPr>
      <t>14.08.2019/</t>
    </r>
    <r>
      <rPr>
        <sz val="9"/>
        <color rgb="FF7030A0"/>
        <rFont val="Arial"/>
        <family val="2"/>
      </rPr>
      <t>03.09.2019/</t>
    </r>
    <r>
      <rPr>
        <sz val="9"/>
        <color rgb="FF0070C0"/>
        <rFont val="Arial"/>
        <family val="2"/>
      </rPr>
      <t>04.09.2019</t>
    </r>
  </si>
  <si>
    <r>
      <t xml:space="preserve">bi/ in Zelle C58 Hinweisfeld eingefügt  =WENN(J57&gt;0;"Bitte Forderung für steuerfreie Sachbezüge nach § 8 Abs. 2 EStG begründen </t>
    </r>
    <r>
      <rPr>
        <strike/>
        <sz val="10"/>
        <color rgb="FF0070C0"/>
        <rFont val="Arial"/>
        <family val="2"/>
      </rPr>
      <t>und nachweisen</t>
    </r>
    <r>
      <rPr>
        <sz val="10"/>
        <color rgb="FF660066"/>
        <rFont val="Arial"/>
        <family val="2"/>
      </rPr>
      <t>.";"")</t>
    </r>
    <r>
      <rPr>
        <sz val="10"/>
        <color rgb="FF0070C0"/>
        <rFont val="Arial"/>
        <family val="2"/>
      </rPr>
      <t>bi/Hinweistext angepasst ohne Nachweisforderung</t>
    </r>
  </si>
  <si>
    <t>dtr 06.09.2019: Schutz von Zellen:D8, Zeilen 10, 37, 46 und Entfernen der bedingten Formatierung Zeile 10/11</t>
  </si>
  <si>
    <t>dtr 06.09.2019: Schutz von Zellen: I 11+14+26+29+34+39+41+43+62+64, Zeilen 15,45 bedingte Formatierung Zeile 15 entfernt</t>
  </si>
  <si>
    <t>- Aufmerksamkeiten des Arbeitgebers</t>
  </si>
  <si>
    <t>dtr 06.09.2019: Aufmerksamkeiten des Arbeitgebers unter Verwaltungsbedarf</t>
  </si>
  <si>
    <t>dtr Stand 23.9.19 - Blatt Beförderung gelöscht</t>
  </si>
  <si>
    <t>23.09.2019 dtr: Beförderung aus Zeile 55/56 und bedingte Formatierung gelöscht</t>
  </si>
  <si>
    <t>dtr 06.09.2019: J57 gelb als Eingabezelle</t>
  </si>
  <si>
    <t>dtr 25.9.19: I62 und I64 geschützt</t>
  </si>
  <si>
    <t>25.9.19 dtr. Rahmen formatiert</t>
  </si>
  <si>
    <t>Personalaufwendungen</t>
  </si>
  <si>
    <t>J57</t>
  </si>
  <si>
    <t>Zelle entsperrt, Eintragung ermöglicht</t>
  </si>
  <si>
    <t>1.10.2019 dtr. Schutz im Personaaufwendungen Zelle J57</t>
  </si>
  <si>
    <t>25.09.2019 dtr. Schutz im Personalaufwendungenblatt Zellen I62 und I64</t>
  </si>
  <si>
    <t>7.10.2019 dtr. Schutz im Personalkostenaufstellung  Zellen N110:N116 entfernt und Formeln gelöscht</t>
  </si>
  <si>
    <t>Personalkostenaufstellung</t>
  </si>
  <si>
    <t>N110:N116</t>
  </si>
  <si>
    <t>Formel gelöscht, Zelle entsperrt, Eintragung ermöglicht</t>
  </si>
  <si>
    <t>Versionsinfo</t>
  </si>
  <si>
    <t>ausgeblendet (unnötigen Ausdruck vermeiden)</t>
  </si>
  <si>
    <t>3.1.20 dtr. Blatt Versionsinfo in offizieller Version ausgeblendet</t>
  </si>
  <si>
    <t>15.1.20 dtr Blatt Belegung Schreibschutz in Zellen F26-F31 entfernt</t>
  </si>
  <si>
    <t>F26 bis F31</t>
  </si>
  <si>
    <t>Schreibschutz entfernt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</si>
</sst>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d/m/yy"/>
    <numFmt numFmtId="167" formatCode="#,##0\ &quot;€&quot;"/>
    <numFmt numFmtId="168" formatCode="0.000"/>
    <numFmt numFmtId="169" formatCode="#,##0.000_ ;[Red]\-#,##0.000\ "/>
    <numFmt numFmtId="170" formatCode="0.000\ &quot;VK&quot;"/>
    <numFmt numFmtId="171" formatCode="#,##0.00\ _€"/>
    <numFmt numFmtId="172" formatCode="0\ &quot;%&quot;"/>
    <numFmt numFmtId="173" formatCode="#,##0.000\ &quot;€&quot;"/>
    <numFmt numFmtId="174" formatCode="0.000%"/>
    <numFmt numFmtId="175" formatCode="0.0000"/>
    <numFmt numFmtId="176" formatCode="#,##0.0000"/>
    <numFmt numFmtId="177" formatCode="_-* #,##0\ [$€-407]_-;\-* #,##0\ [$€-407]_-;_-* &quot;-&quot;??\ [$€-407]_-;_-@_-"/>
    <numFmt numFmtId="178" formatCode="0.0\ %"/>
    <numFmt numFmtId="179" formatCode="#,##0.000"/>
    <numFmt numFmtId="180" formatCode="#,##0.00\ &quot;€/VK&quot;"/>
    <numFmt numFmtId="181" formatCode="#,##0\ ;\-\ #,##0\ ;&quot;-&quot;\ \ ;@"/>
    <numFmt numFmtId="182" formatCode="#,##0.00\ ;\-#,##0.00\ ;&quot;-&quot;\ ??;@"/>
    <numFmt numFmtId="183" formatCode="#,##0\ ;\-#,##0\ ;&quot;-&quot;\ \ \ ;@"/>
    <numFmt numFmtId="184" formatCode="#,##0.00\ ;\-#,##0.00\ ;&quot;-&quot;\ \ \ \ \ ;@"/>
  </numFmts>
  <fonts count="173"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color theme="0"/>
      <name val="Arial"/>
      <family val="2"/>
    </font>
    <font>
      <sz val="11"/>
      <color theme="3" tint="-0.249977111117893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theme="8" tint="-0.249977111117893"/>
      <name val="Arial"/>
      <family val="2"/>
    </font>
    <font>
      <sz val="11"/>
      <color theme="5" tint="-0.499984740745262"/>
      <name val="Arial"/>
      <family val="2"/>
    </font>
    <font>
      <sz val="10"/>
      <color rgb="FF0070C0"/>
      <name val="Arial"/>
      <family val="2"/>
    </font>
    <font>
      <u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rgb="FF7030A0"/>
      <name val="Arial"/>
      <family val="2"/>
    </font>
    <font>
      <sz val="11"/>
      <color theme="9" tint="-0.499984740745262"/>
      <name val="Arial"/>
      <family val="2"/>
    </font>
    <font>
      <sz val="10"/>
      <color rgb="FF00B050"/>
      <name val="Arial"/>
      <family val="2"/>
    </font>
    <font>
      <sz val="10"/>
      <color rgb="FF7030A0"/>
      <name val="Arial"/>
      <family val="2"/>
    </font>
    <font>
      <sz val="10"/>
      <color theme="3" tint="-0.249977111117893"/>
      <name val="Arial"/>
      <family val="2"/>
    </font>
    <font>
      <sz val="11"/>
      <color rgb="FF0070C0"/>
      <name val="Arial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sz val="11"/>
      <color rgb="FFC00000"/>
      <name val="Arial"/>
      <family val="2"/>
    </font>
    <font>
      <i/>
      <sz val="10"/>
      <name val="Arial"/>
      <family val="2"/>
    </font>
    <font>
      <i/>
      <sz val="10"/>
      <name val="Aial"/>
    </font>
    <font>
      <i/>
      <sz val="10"/>
      <name val="Wingdings"/>
      <charset val="2"/>
    </font>
    <font>
      <b/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color indexed="10"/>
      <name val="Arial"/>
      <family val="2"/>
    </font>
    <font>
      <b/>
      <sz val="10"/>
      <color rgb="FF0070C0"/>
      <name val="Arial"/>
      <family val="2"/>
    </font>
    <font>
      <b/>
      <sz val="10"/>
      <color theme="3" tint="-0.249977111117893"/>
      <name val="Arial"/>
      <family val="2"/>
    </font>
    <font>
      <sz val="11"/>
      <color rgb="FF92D050"/>
      <name val="Arial"/>
      <family val="2"/>
    </font>
    <font>
      <sz val="9"/>
      <color theme="1"/>
      <name val="Arial"/>
      <family val="2"/>
    </font>
    <font>
      <b/>
      <u/>
      <sz val="12"/>
      <name val="Arial"/>
      <family val="2"/>
    </font>
    <font>
      <b/>
      <sz val="11"/>
      <color rgb="FF7030A0"/>
      <name val="Arial"/>
      <family val="2"/>
    </font>
    <font>
      <b/>
      <u/>
      <sz val="10"/>
      <color theme="1"/>
      <name val="Arial"/>
      <family val="2"/>
    </font>
    <font>
      <sz val="10"/>
      <color theme="0"/>
      <name val="Arial"/>
      <family val="2"/>
    </font>
    <font>
      <u/>
      <sz val="10"/>
      <color rgb="FF0070C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3" tint="-0.249977111117893"/>
      <name val="Arial"/>
      <family val="2"/>
    </font>
    <font>
      <sz val="10"/>
      <color theme="1"/>
      <name val="Palatino Linotype"/>
      <family val="2"/>
      <scheme val="minor"/>
    </font>
    <font>
      <b/>
      <u/>
      <sz val="10"/>
      <name val="Arial"/>
      <family val="2"/>
    </font>
    <font>
      <sz val="14"/>
      <name val="Arial"/>
      <family val="2"/>
    </font>
    <font>
      <sz val="48"/>
      <name val="Arial"/>
      <family val="2"/>
    </font>
    <font>
      <b/>
      <i/>
      <sz val="9"/>
      <color rgb="FF0070C0"/>
      <name val="Arial"/>
      <family val="2"/>
    </font>
    <font>
      <b/>
      <i/>
      <sz val="9"/>
      <color theme="1"/>
      <name val="Arial"/>
      <family val="2"/>
    </font>
    <font>
      <sz val="10"/>
      <color theme="0" tint="-0.249977111117893"/>
      <name val="Arial"/>
      <family val="2"/>
    </font>
    <font>
      <b/>
      <sz val="11"/>
      <color rgb="FFC00000"/>
      <name val="Arial"/>
      <family val="2"/>
    </font>
    <font>
      <b/>
      <sz val="8"/>
      <name val="Arial"/>
      <family val="2"/>
    </font>
    <font>
      <vertAlign val="superscript"/>
      <sz val="8"/>
      <color rgb="FF0070C0"/>
      <name val="Arial"/>
      <family val="2"/>
    </font>
    <font>
      <sz val="11"/>
      <color rgb="FF00B0F0"/>
      <name val="Arial"/>
      <family val="2"/>
    </font>
    <font>
      <sz val="10"/>
      <color rgb="FF00B0F0"/>
      <name val="Arial"/>
      <family val="2"/>
    </font>
    <font>
      <sz val="9"/>
      <color rgb="FFFF0000"/>
      <name val="Arial"/>
      <family val="2"/>
    </font>
    <font>
      <sz val="10"/>
      <color theme="3"/>
      <name val="Arial"/>
      <family val="2"/>
    </font>
    <font>
      <sz val="11"/>
      <color theme="3"/>
      <name val="Arial"/>
      <family val="2"/>
    </font>
    <font>
      <b/>
      <sz val="10"/>
      <color theme="7"/>
      <name val="Arial"/>
      <family val="2"/>
    </font>
    <font>
      <b/>
      <sz val="9"/>
      <name val="Arial"/>
      <family val="2"/>
    </font>
    <font>
      <b/>
      <sz val="10"/>
      <name val="Wingdings"/>
      <charset val="2"/>
    </font>
    <font>
      <b/>
      <sz val="14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i/>
      <sz val="10"/>
      <color theme="1"/>
      <name val="Arial"/>
      <family val="2"/>
    </font>
    <font>
      <b/>
      <sz val="10"/>
      <color rgb="FF7030A0"/>
      <name val="Arial"/>
      <family val="2"/>
    </font>
    <font>
      <sz val="11"/>
      <color theme="6"/>
      <name val="Arial"/>
      <family val="2"/>
    </font>
    <font>
      <sz val="10"/>
      <color theme="6"/>
      <name val="Arial"/>
      <family val="2"/>
    </font>
    <font>
      <b/>
      <sz val="10"/>
      <color theme="6"/>
      <name val="Arial"/>
      <family val="2"/>
    </font>
    <font>
      <b/>
      <sz val="8"/>
      <color theme="1"/>
      <name val="Arial"/>
      <family val="2"/>
    </font>
    <font>
      <b/>
      <sz val="10"/>
      <color theme="0"/>
      <name val="Arial"/>
      <family val="2"/>
    </font>
    <font>
      <sz val="11"/>
      <color rgb="FFFFC000"/>
      <name val="Arial"/>
      <family val="2"/>
    </font>
    <font>
      <sz val="10"/>
      <color rgb="FFFFC000"/>
      <name val="Arial"/>
      <family val="2"/>
    </font>
    <font>
      <sz val="11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sz val="10"/>
      <color theme="3" tint="0.39997558519241921"/>
      <name val="Arial"/>
      <family val="2"/>
    </font>
    <font>
      <u/>
      <sz val="10"/>
      <color rgb="FFFF0000"/>
      <name val="Arial"/>
      <family val="2"/>
    </font>
    <font>
      <b/>
      <i/>
      <sz val="11"/>
      <name val="Arial"/>
      <family val="2"/>
    </font>
    <font>
      <sz val="10"/>
      <color rgb="FFFF00FF"/>
      <name val="Arial"/>
      <family val="2"/>
    </font>
    <font>
      <sz val="11"/>
      <color rgb="FFFF00FF"/>
      <name val="Arial"/>
      <family val="2"/>
    </font>
    <font>
      <b/>
      <sz val="9"/>
      <color rgb="FFFF0000"/>
      <name val="Arial"/>
      <family val="2"/>
    </font>
    <font>
      <u/>
      <sz val="11"/>
      <color rgb="FFFF00FF"/>
      <name val="Arial"/>
      <family val="2"/>
    </font>
    <font>
      <u/>
      <sz val="10"/>
      <color rgb="FFFF00FF"/>
      <name val="Arial"/>
      <family val="2"/>
    </font>
    <font>
      <b/>
      <sz val="10"/>
      <color rgb="FFFF00FF"/>
      <name val="Arial"/>
      <family val="2"/>
    </font>
    <font>
      <strike/>
      <sz val="10"/>
      <color theme="1"/>
      <name val="Arial"/>
      <family val="2"/>
    </font>
    <font>
      <b/>
      <i/>
      <sz val="9"/>
      <color rgb="FFFF00FF"/>
      <name val="Arial"/>
      <family val="2"/>
    </font>
    <font>
      <b/>
      <sz val="11"/>
      <color rgb="FFFF00FF"/>
      <name val="Arial"/>
      <family val="2"/>
    </font>
    <font>
      <sz val="9"/>
      <color rgb="FFFF00FF"/>
      <name val="Arial"/>
      <family val="2"/>
    </font>
    <font>
      <strike/>
      <sz val="10"/>
      <color theme="3"/>
      <name val="Arial"/>
      <family val="2"/>
    </font>
    <font>
      <u/>
      <sz val="9"/>
      <color rgb="FFFF00FF"/>
      <name val="Arial"/>
      <family val="2"/>
    </font>
    <font>
      <sz val="9"/>
      <color rgb="FF0070C0"/>
      <name val="Arial"/>
      <family val="2"/>
    </font>
    <font>
      <b/>
      <strike/>
      <sz val="10"/>
      <color theme="3"/>
      <name val="Arial"/>
      <family val="2"/>
    </font>
    <font>
      <b/>
      <strike/>
      <sz val="10"/>
      <color theme="7"/>
      <name val="Arial"/>
      <family val="2"/>
    </font>
    <font>
      <strike/>
      <u val="double"/>
      <sz val="10"/>
      <color theme="3"/>
      <name val="Arial"/>
      <family val="2"/>
    </font>
    <font>
      <strike/>
      <sz val="10"/>
      <color theme="7"/>
      <name val="Arial"/>
      <family val="2"/>
    </font>
    <font>
      <strike/>
      <u/>
      <sz val="10"/>
      <color theme="3"/>
      <name val="Arial"/>
      <family val="2"/>
    </font>
    <font>
      <strike/>
      <sz val="11"/>
      <color theme="3"/>
      <name val="Arial"/>
      <family val="2"/>
    </font>
    <font>
      <strike/>
      <sz val="9"/>
      <color theme="3"/>
      <name val="Arial"/>
      <family val="2"/>
    </font>
    <font>
      <strike/>
      <sz val="11"/>
      <color theme="1"/>
      <name val="Arial"/>
      <family val="2"/>
    </font>
    <font>
      <strike/>
      <sz val="9"/>
      <color rgb="FFFF00FF"/>
      <name val="Arial"/>
      <family val="2"/>
    </font>
    <font>
      <b/>
      <sz val="11"/>
      <color theme="3"/>
      <name val="Arial"/>
      <family val="2"/>
    </font>
    <font>
      <sz val="9"/>
      <color theme="3"/>
      <name val="Arial"/>
      <family val="2"/>
    </font>
    <font>
      <b/>
      <u/>
      <sz val="10"/>
      <color theme="3"/>
      <name val="Arial"/>
      <family val="2"/>
    </font>
    <font>
      <b/>
      <sz val="9"/>
      <color theme="3"/>
      <name val="Arial"/>
      <family val="2"/>
    </font>
    <font>
      <b/>
      <i/>
      <sz val="10"/>
      <color theme="3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8"/>
      <color theme="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strike/>
      <sz val="9"/>
      <color theme="7"/>
      <name val="Arial"/>
      <family val="2"/>
    </font>
    <font>
      <sz val="9"/>
      <color rgb="FF09D2E7"/>
      <name val="Arial"/>
      <family val="2"/>
    </font>
    <font>
      <b/>
      <i/>
      <sz val="9"/>
      <color rgb="FF09D2E7"/>
      <name val="Arial"/>
      <family val="2"/>
    </font>
    <font>
      <sz val="10"/>
      <color rgb="FF09D2E7"/>
      <name val="Arial"/>
      <family val="2"/>
    </font>
    <font>
      <strike/>
      <sz val="9"/>
      <color theme="1"/>
      <name val="Arial"/>
      <family val="2"/>
    </font>
    <font>
      <sz val="9"/>
      <color rgb="FF7030A0"/>
      <name val="Arial"/>
      <family val="2"/>
    </font>
    <font>
      <strike/>
      <sz val="10"/>
      <color rgb="FF7030A0"/>
      <name val="Arial"/>
      <family val="2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sz val="11"/>
      <color theme="7" tint="-0.249977111117893"/>
      <name val="Arial"/>
      <family val="2"/>
    </font>
    <font>
      <sz val="9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1"/>
      <color theme="2" tint="-0.499984740745262"/>
      <name val="Arial"/>
      <family val="2"/>
    </font>
    <font>
      <sz val="8"/>
      <color theme="2" tint="-0.499984740745262"/>
      <name val="Arial"/>
      <family val="2"/>
    </font>
    <font>
      <sz val="10"/>
      <color theme="2" tint="-0.499984740745262"/>
      <name val="Arial"/>
      <family val="2"/>
    </font>
    <font>
      <sz val="9"/>
      <color theme="2" tint="-0.499984740745262"/>
      <name val="Arial"/>
      <family val="2"/>
    </font>
    <font>
      <b/>
      <sz val="11"/>
      <color theme="2" tint="-0.499984740745262"/>
      <name val="Arial"/>
      <family val="2"/>
    </font>
    <font>
      <sz val="9"/>
      <color theme="2" tint="-0.749992370372631"/>
      <name val="Arial"/>
      <family val="2"/>
    </font>
    <font>
      <sz val="11"/>
      <color theme="8"/>
      <name val="Arial"/>
      <family val="2"/>
    </font>
    <font>
      <sz val="11"/>
      <color theme="0" tint="-0.249977111117893"/>
      <name val="Arial"/>
      <family val="2"/>
    </font>
    <font>
      <strike/>
      <sz val="9"/>
      <color theme="7" tint="-0.249977111117893"/>
      <name val="Arial"/>
      <family val="2"/>
    </font>
    <font>
      <strike/>
      <u/>
      <sz val="9"/>
      <color theme="7" tint="-0.249977111117893"/>
      <name val="Arial"/>
      <family val="2"/>
    </font>
    <font>
      <strike/>
      <sz val="11"/>
      <color rgb="FFFF00FF"/>
      <name val="Arial"/>
      <family val="2"/>
    </font>
    <font>
      <strike/>
      <sz val="10"/>
      <color theme="8"/>
      <name val="Arial"/>
      <family val="2"/>
    </font>
    <font>
      <sz val="9"/>
      <color rgb="FF660066"/>
      <name val="Arial"/>
      <family val="2"/>
    </font>
    <font>
      <sz val="10"/>
      <color rgb="FF660066"/>
      <name val="Arial"/>
      <family val="2"/>
    </font>
    <font>
      <u/>
      <sz val="10"/>
      <color rgb="FF7030A0"/>
      <name val="Arial"/>
      <family val="2"/>
    </font>
    <font>
      <strike/>
      <sz val="10"/>
      <color rgb="FF0070C0"/>
      <name val="Arial"/>
      <family val="2"/>
    </font>
    <font>
      <sz val="10"/>
      <color theme="9" tint="-0.499984740745262"/>
      <name val="Arial"/>
      <family val="2"/>
    </font>
    <font>
      <b/>
      <sz val="9"/>
      <color theme="1"/>
      <name val="Arial"/>
      <family val="2"/>
    </font>
    <font>
      <b/>
      <sz val="10"/>
      <color theme="9" tint="-0.499984740745262"/>
      <name val="Arial"/>
      <family val="2"/>
    </font>
    <font>
      <sz val="7"/>
      <color theme="0" tint="-4.9989318521683403E-2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lightGray">
        <fgColor theme="6" tint="0.599963377788628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theme="6" tint="0.59996337778862885"/>
        <bgColor theme="0" tint="-4.9989318521683403E-2"/>
      </patternFill>
    </fill>
    <fill>
      <patternFill patternType="lightGray">
        <fgColor theme="6" tint="0.59996337778862885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ECD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2FB8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BFD95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thin">
        <color indexed="64"/>
      </right>
      <top style="medium">
        <color theme="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medium">
        <color rgb="FF0070C0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medium">
        <color theme="6" tint="-0.24994659260841701"/>
      </top>
      <bottom/>
      <diagonal/>
    </border>
    <border>
      <left style="dotted">
        <color auto="1"/>
      </left>
      <right style="dotted">
        <color auto="1"/>
      </right>
      <top style="medium">
        <color rgb="FF0070C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rgb="FF0070C0"/>
      </right>
      <top style="medium">
        <color rgb="FF0070C0"/>
      </top>
      <bottom/>
      <diagonal/>
    </border>
    <border>
      <left style="dotted">
        <color auto="1"/>
      </left>
      <right style="medium">
        <color rgb="FF0070C0"/>
      </right>
      <top/>
      <bottom style="medium">
        <color rgb="FF0070C0"/>
      </bottom>
      <diagonal/>
    </border>
    <border>
      <left style="dotted">
        <color auto="1"/>
      </left>
      <right style="medium">
        <color rgb="FF0070C0"/>
      </right>
      <top/>
      <bottom/>
      <diagonal/>
    </border>
    <border>
      <left style="medium">
        <color rgb="FF0070C0"/>
      </left>
      <right style="dotted">
        <color auto="1"/>
      </right>
      <top style="medium">
        <color rgb="FF0070C0"/>
      </top>
      <bottom/>
      <diagonal/>
    </border>
    <border>
      <left style="medium">
        <color rgb="FF0070C0"/>
      </left>
      <right style="dotted">
        <color auto="1"/>
      </right>
      <top/>
      <bottom style="medium">
        <color rgb="FF0070C0"/>
      </bottom>
      <diagonal/>
    </border>
    <border>
      <left style="medium">
        <color rgb="FF0070C0"/>
      </left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auto="1"/>
      </right>
      <top style="medium">
        <color theme="6" tint="-0.24994659260841701"/>
      </top>
      <bottom/>
      <diagonal/>
    </border>
    <border>
      <left style="dotted">
        <color auto="1"/>
      </left>
      <right style="thin">
        <color indexed="64"/>
      </right>
      <top style="medium">
        <color theme="6" tint="-0.24994659260841701"/>
      </top>
      <bottom/>
      <diagonal/>
    </border>
    <border>
      <left style="thin">
        <color indexed="64"/>
      </left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 style="dotted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70C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</borders>
  <cellStyleXfs count="31">
    <xf numFmtId="0" fontId="0" fillId="0" borderId="0"/>
    <xf numFmtId="164" fontId="22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17" borderId="85" applyNumberFormat="0" applyAlignment="0">
      <protection locked="0"/>
    </xf>
    <xf numFmtId="0" fontId="22" fillId="19" borderId="0" applyNumberFormat="0" applyBorder="0" applyAlignment="0" applyProtection="0"/>
    <xf numFmtId="178" fontId="33" fillId="0" borderId="0" applyFont="0" applyFill="0" applyBorder="0" applyAlignment="0" applyProtection="0"/>
    <xf numFmtId="0" fontId="22" fillId="18" borderId="0" applyNumberFormat="0" applyFont="0" applyBorder="0" applyAlignment="0" applyProtection="0"/>
    <xf numFmtId="0" fontId="22" fillId="19" borderId="0" applyNumberFormat="0" applyFont="0" applyBorder="0" applyAlignment="0" applyProtection="0"/>
    <xf numFmtId="14" fontId="33" fillId="17" borderId="14" applyFont="0" applyFill="0" applyBorder="0" applyAlignment="0" applyProtection="0">
      <alignment vertical="center"/>
      <protection locked="0"/>
    </xf>
    <xf numFmtId="0" fontId="22" fillId="17" borderId="85" applyNumberFormat="0" applyAlignment="0">
      <protection locked="0"/>
    </xf>
    <xf numFmtId="0" fontId="26" fillId="17" borderId="14" applyNumberFormat="0" applyFont="0" applyAlignment="0">
      <protection locked="0"/>
    </xf>
    <xf numFmtId="0" fontId="33" fillId="0" borderId="0" applyNumberFormat="0" applyFont="0" applyBorder="0" applyAlignment="0"/>
    <xf numFmtId="0" fontId="33" fillId="22" borderId="0" applyNumberFormat="0" applyFont="0" applyBorder="0" applyAlignment="0" applyProtection="0"/>
    <xf numFmtId="0" fontId="33" fillId="0" borderId="0" applyBorder="0">
      <alignment vertical="center"/>
    </xf>
    <xf numFmtId="2" fontId="33" fillId="0" borderId="0" applyFont="0" applyFill="0" applyBorder="0" applyAlignment="0" applyProtection="0"/>
    <xf numFmtId="49" fontId="33" fillId="0" borderId="0" applyFont="0" applyFill="0" applyBorder="0" applyAlignment="0" applyProtection="0">
      <alignment vertical="center"/>
    </xf>
    <xf numFmtId="179" fontId="33" fillId="0" borderId="0" applyFont="0" applyFill="0" applyBorder="0" applyAlignment="0" applyProtection="0"/>
    <xf numFmtId="0" fontId="133" fillId="0" borderId="0" applyBorder="0">
      <alignment vertical="center"/>
    </xf>
    <xf numFmtId="0" fontId="22" fillId="18" borderId="0" applyNumberFormat="0" applyFont="0" applyBorder="0" applyAlignment="0" applyProtection="0"/>
    <xf numFmtId="0" fontId="22" fillId="19" borderId="0" applyNumberFormat="0" applyFont="0" applyBorder="0" applyAlignment="0" applyProtection="0"/>
    <xf numFmtId="14" fontId="33" fillId="17" borderId="14" applyFont="0" applyFill="0" applyBorder="0" applyAlignment="0" applyProtection="0">
      <alignment vertical="center"/>
      <protection locked="0"/>
    </xf>
    <xf numFmtId="183" fontId="33" fillId="0" borderId="0" applyFont="0" applyFill="0" applyBorder="0" applyAlignment="0" applyProtection="0"/>
    <xf numFmtId="184" fontId="33" fillId="0" borderId="0" applyFont="0" applyFill="0" applyBorder="0" applyAlignment="0" applyProtection="0"/>
    <xf numFmtId="0" fontId="134" fillId="0" borderId="0" applyNumberFormat="0" applyFill="0" applyBorder="0" applyAlignment="0" applyProtection="0">
      <alignment vertical="top"/>
      <protection locked="0"/>
    </xf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182" fontId="33" fillId="0" borderId="0" applyFont="0" applyFill="0" applyBorder="0" applyAlignment="0" applyProtection="0"/>
    <xf numFmtId="181" fontId="33" fillId="0" borderId="0" applyFont="0" applyFill="0" applyBorder="0" applyAlignment="0" applyProtection="0"/>
  </cellStyleXfs>
  <cellXfs count="1544">
    <xf numFmtId="0" fontId="0" fillId="0" borderId="0" xfId="0"/>
    <xf numFmtId="0" fontId="21" fillId="0" borderId="0" xfId="0" applyFont="1"/>
    <xf numFmtId="0" fontId="23" fillId="0" borderId="0" xfId="0" applyFont="1"/>
    <xf numFmtId="0" fontId="0" fillId="0" borderId="4" xfId="0" applyBorder="1" applyProtection="1">
      <protection hidden="1"/>
    </xf>
    <xf numFmtId="0" fontId="0" fillId="0" borderId="0" xfId="0" applyProtection="1">
      <protection hidden="1"/>
    </xf>
    <xf numFmtId="0" fontId="0" fillId="0" borderId="5" xfId="0" applyBorder="1" applyProtection="1">
      <protection hidden="1"/>
    </xf>
    <xf numFmtId="0" fontId="27" fillId="0" borderId="0" xfId="0" applyFont="1" applyBorder="1" applyProtection="1">
      <protection hidden="1"/>
    </xf>
    <xf numFmtId="0" fontId="27" fillId="0" borderId="0" xfId="0" applyFont="1" applyProtection="1">
      <protection hidden="1"/>
    </xf>
    <xf numFmtId="0" fontId="28" fillId="0" borderId="0" xfId="0" applyFont="1" applyBorder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31" fillId="0" borderId="0" xfId="0" applyFont="1"/>
    <xf numFmtId="0" fontId="23" fillId="0" borderId="0" xfId="0" applyFont="1" applyProtection="1">
      <protection hidden="1"/>
    </xf>
    <xf numFmtId="0" fontId="21" fillId="0" borderId="0" xfId="0" applyFont="1" applyBorder="1" applyProtection="1">
      <protection hidden="1"/>
    </xf>
    <xf numFmtId="0" fontId="33" fillId="0" borderId="5" xfId="0" applyFont="1" applyBorder="1" applyProtection="1">
      <protection hidden="1"/>
    </xf>
    <xf numFmtId="0" fontId="34" fillId="0" borderId="0" xfId="0" applyFont="1" applyBorder="1" applyAlignment="1" applyProtection="1">
      <alignment vertical="top"/>
      <protection hidden="1"/>
    </xf>
    <xf numFmtId="0" fontId="34" fillId="0" borderId="5" xfId="0" applyFont="1" applyBorder="1" applyAlignment="1" applyProtection="1">
      <alignment vertical="top"/>
      <protection hidden="1"/>
    </xf>
    <xf numFmtId="0" fontId="34" fillId="0" borderId="0" xfId="0" applyFont="1" applyBorder="1" applyProtection="1">
      <protection hidden="1"/>
    </xf>
    <xf numFmtId="0" fontId="28" fillId="0" borderId="0" xfId="0" applyFont="1" applyBorder="1" applyProtection="1">
      <protection hidden="1"/>
    </xf>
    <xf numFmtId="0" fontId="21" fillId="3" borderId="7" xfId="0" applyFont="1" applyFill="1" applyBorder="1" applyAlignment="1" applyProtection="1">
      <alignment horizontal="center"/>
      <protection locked="0"/>
    </xf>
    <xf numFmtId="0" fontId="21" fillId="0" borderId="0" xfId="0" applyFont="1" applyBorder="1" applyAlignment="1" applyProtection="1">
      <alignment horizontal="right"/>
      <protection hidden="1"/>
    </xf>
    <xf numFmtId="0" fontId="0" fillId="3" borderId="0" xfId="0" applyFill="1" applyBorder="1" applyProtection="1">
      <protection locked="0"/>
    </xf>
    <xf numFmtId="0" fontId="33" fillId="0" borderId="4" xfId="0" applyFont="1" applyFill="1" applyBorder="1"/>
    <xf numFmtId="0" fontId="28" fillId="0" borderId="0" xfId="0" applyFont="1" applyFill="1" applyBorder="1"/>
    <xf numFmtId="0" fontId="33" fillId="0" borderId="0" xfId="0" applyFont="1" applyFill="1" applyBorder="1"/>
    <xf numFmtId="0" fontId="33" fillId="0" borderId="0" xfId="0" applyFont="1" applyBorder="1"/>
    <xf numFmtId="2" fontId="33" fillId="0" borderId="0" xfId="0" applyNumberFormat="1" applyFont="1" applyBorder="1" applyAlignment="1">
      <alignment horizontal="right"/>
    </xf>
    <xf numFmtId="2" fontId="33" fillId="0" borderId="0" xfId="0" applyNumberFormat="1" applyFont="1" applyBorder="1" applyAlignment="1">
      <alignment horizontal="center"/>
    </xf>
    <xf numFmtId="14" fontId="21" fillId="3" borderId="14" xfId="0" applyNumberFormat="1" applyFont="1" applyFill="1" applyBorder="1" applyAlignment="1" applyProtection="1">
      <alignment horizontal="center"/>
      <protection locked="0"/>
    </xf>
    <xf numFmtId="0" fontId="21" fillId="0" borderId="0" xfId="0" applyFont="1" applyProtection="1">
      <protection hidden="1"/>
    </xf>
    <xf numFmtId="0" fontId="0" fillId="0" borderId="5" xfId="0" applyBorder="1"/>
    <xf numFmtId="0" fontId="0" fillId="0" borderId="0" xfId="0" applyFill="1" applyBorder="1" applyProtection="1">
      <protection hidden="1"/>
    </xf>
    <xf numFmtId="0" fontId="21" fillId="0" borderId="4" xfId="0" applyFont="1" applyBorder="1"/>
    <xf numFmtId="0" fontId="28" fillId="0" borderId="0" xfId="0" applyFont="1" applyBorder="1"/>
    <xf numFmtId="0" fontId="21" fillId="0" borderId="0" xfId="0" applyFont="1" applyBorder="1"/>
    <xf numFmtId="14" fontId="21" fillId="0" borderId="0" xfId="0" applyNumberFormat="1" applyFont="1" applyBorder="1" applyAlignment="1">
      <alignment horizontal="right"/>
    </xf>
    <xf numFmtId="0" fontId="21" fillId="0" borderId="5" xfId="0" applyFont="1" applyBorder="1"/>
    <xf numFmtId="0" fontId="0" fillId="0" borderId="4" xfId="0" applyBorder="1"/>
    <xf numFmtId="0" fontId="0" fillId="0" borderId="0" xfId="0" applyFill="1" applyBorder="1"/>
    <xf numFmtId="0" fontId="0" fillId="0" borderId="5" xfId="0" applyFill="1" applyBorder="1"/>
    <xf numFmtId="0" fontId="0" fillId="0" borderId="2" xfId="0" applyBorder="1"/>
    <xf numFmtId="0" fontId="34" fillId="0" borderId="2" xfId="0" applyFont="1" applyFill="1" applyBorder="1" applyAlignment="1">
      <alignment vertical="top"/>
    </xf>
    <xf numFmtId="0" fontId="34" fillId="0" borderId="2" xfId="0" applyFont="1" applyFill="1" applyBorder="1" applyAlignment="1" applyProtection="1">
      <alignment horizontal="center" vertical="top"/>
      <protection hidden="1"/>
    </xf>
    <xf numFmtId="0" fontId="0" fillId="0" borderId="2" xfId="0" applyFill="1" applyBorder="1"/>
    <xf numFmtId="0" fontId="34" fillId="0" borderId="2" xfId="0" applyFont="1" applyFill="1" applyBorder="1" applyAlignment="1">
      <alignment horizontal="center" vertical="top"/>
    </xf>
    <xf numFmtId="0" fontId="0" fillId="0" borderId="3" xfId="0" applyFill="1" applyBorder="1"/>
    <xf numFmtId="0" fontId="21" fillId="0" borderId="0" xfId="0" applyFont="1" applyFill="1" applyBorder="1"/>
    <xf numFmtId="0" fontId="21" fillId="0" borderId="16" xfId="0" applyFont="1" applyFill="1" applyBorder="1"/>
    <xf numFmtId="0" fontId="21" fillId="0" borderId="17" xfId="0" applyFont="1" applyBorder="1"/>
    <xf numFmtId="0" fontId="21" fillId="0" borderId="17" xfId="0" applyFont="1" applyFill="1" applyBorder="1"/>
    <xf numFmtId="0" fontId="21" fillId="0" borderId="5" xfId="0" applyFont="1" applyFill="1" applyBorder="1"/>
    <xf numFmtId="0" fontId="21" fillId="0" borderId="0" xfId="0" applyFont="1" applyFill="1" applyBorder="1" applyProtection="1">
      <protection hidden="1"/>
    </xf>
    <xf numFmtId="0" fontId="21" fillId="0" borderId="6" xfId="0" applyFont="1" applyFill="1" applyBorder="1" applyProtection="1">
      <protection hidden="1"/>
    </xf>
    <xf numFmtId="0" fontId="21" fillId="0" borderId="7" xfId="0" applyFont="1" applyBorder="1" applyProtection="1">
      <protection hidden="1"/>
    </xf>
    <xf numFmtId="0" fontId="21" fillId="0" borderId="7" xfId="0" applyFont="1" applyFill="1" applyBorder="1" applyProtection="1">
      <protection hidden="1"/>
    </xf>
    <xf numFmtId="0" fontId="21" fillId="0" borderId="4" xfId="0" applyFont="1" applyBorder="1" applyProtection="1">
      <protection hidden="1"/>
    </xf>
    <xf numFmtId="2" fontId="33" fillId="0" borderId="7" xfId="0" applyNumberFormat="1" applyFont="1" applyBorder="1" applyAlignment="1" applyProtection="1">
      <protection hidden="1"/>
    </xf>
    <xf numFmtId="0" fontId="21" fillId="0" borderId="7" xfId="0" applyFont="1" applyBorder="1" applyAlignment="1" applyProtection="1">
      <alignment horizontal="right"/>
      <protection hidden="1"/>
    </xf>
    <xf numFmtId="2" fontId="21" fillId="0" borderId="7" xfId="0" applyNumberFormat="1" applyFont="1" applyFill="1" applyBorder="1" applyAlignment="1" applyProtection="1">
      <alignment horizontal="right"/>
      <protection hidden="1"/>
    </xf>
    <xf numFmtId="0" fontId="21" fillId="0" borderId="7" xfId="0" applyFont="1" applyBorder="1"/>
    <xf numFmtId="0" fontId="21" fillId="0" borderId="8" xfId="0" applyFont="1" applyBorder="1"/>
    <xf numFmtId="2" fontId="33" fillId="0" borderId="0" xfId="0" applyNumberFormat="1" applyFont="1" applyBorder="1" applyAlignment="1" applyProtection="1">
      <protection hidden="1"/>
    </xf>
    <xf numFmtId="0" fontId="21" fillId="0" borderId="5" xfId="0" applyFont="1" applyBorder="1" applyProtection="1">
      <protection hidden="1"/>
    </xf>
    <xf numFmtId="0" fontId="27" fillId="0" borderId="0" xfId="0" applyFont="1" applyBorder="1" applyAlignment="1" applyProtection="1">
      <alignment vertical="center"/>
      <protection hidden="1"/>
    </xf>
    <xf numFmtId="0" fontId="0" fillId="0" borderId="4" xfId="0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21" fillId="0" borderId="0" xfId="0" applyFont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0" fontId="32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32" fillId="0" borderId="0" xfId="0" applyFont="1"/>
    <xf numFmtId="0" fontId="0" fillId="0" borderId="0" xfId="0" applyFill="1" applyProtection="1">
      <protection hidden="1"/>
    </xf>
    <xf numFmtId="0" fontId="28" fillId="0" borderId="4" xfId="0" applyFont="1" applyFill="1" applyBorder="1" applyAlignment="1" applyProtection="1">
      <alignment horizontal="center"/>
      <protection hidden="1"/>
    </xf>
    <xf numFmtId="0" fontId="28" fillId="0" borderId="0" xfId="0" applyFont="1" applyFill="1" applyBorder="1" applyAlignment="1" applyProtection="1">
      <alignment horizontal="center"/>
      <protection hidden="1"/>
    </xf>
    <xf numFmtId="0" fontId="28" fillId="0" borderId="5" xfId="0" applyFont="1" applyFill="1" applyBorder="1" applyAlignment="1" applyProtection="1">
      <alignment horizontal="center"/>
      <protection hidden="1"/>
    </xf>
    <xf numFmtId="0" fontId="21" fillId="0" borderId="0" xfId="0" applyFont="1" applyFill="1" applyProtection="1">
      <protection hidden="1"/>
    </xf>
    <xf numFmtId="0" fontId="32" fillId="0" borderId="0" xfId="0" applyFont="1" applyFill="1" applyProtection="1">
      <protection hidden="1"/>
    </xf>
    <xf numFmtId="0" fontId="21" fillId="0" borderId="4" xfId="0" applyFont="1" applyBorder="1" applyAlignment="1" applyProtection="1">
      <alignment vertical="center"/>
      <protection hidden="1"/>
    </xf>
    <xf numFmtId="0" fontId="28" fillId="7" borderId="14" xfId="0" applyFont="1" applyFill="1" applyBorder="1" applyAlignment="1" applyProtection="1">
      <alignment horizontal="center" vertical="center"/>
      <protection hidden="1"/>
    </xf>
    <xf numFmtId="0" fontId="28" fillId="0" borderId="0" xfId="0" applyFont="1" applyFill="1" applyBorder="1" applyAlignment="1" applyProtection="1">
      <alignment horizontal="center" vertical="center"/>
      <protection hidden="1"/>
    </xf>
    <xf numFmtId="0" fontId="28" fillId="0" borderId="0" xfId="0" applyFont="1" applyBorder="1" applyAlignment="1" applyProtection="1">
      <alignment horizontal="right" vertical="center"/>
      <protection hidden="1"/>
    </xf>
    <xf numFmtId="0" fontId="21" fillId="0" borderId="5" xfId="0" applyFont="1" applyBorder="1" applyAlignment="1" applyProtection="1">
      <alignment vertical="center"/>
      <protection hidden="1"/>
    </xf>
    <xf numFmtId="0" fontId="27" fillId="0" borderId="4" xfId="0" applyFont="1" applyBorder="1" applyProtection="1">
      <protection hidden="1"/>
    </xf>
    <xf numFmtId="0" fontId="32" fillId="0" borderId="0" xfId="0" applyFont="1" applyBorder="1" applyProtection="1">
      <protection hidden="1"/>
    </xf>
    <xf numFmtId="0" fontId="38" fillId="0" borderId="0" xfId="0" applyFont="1" applyBorder="1" applyAlignment="1" applyProtection="1">
      <alignment horizontal="right"/>
      <protection hidden="1"/>
    </xf>
    <xf numFmtId="0" fontId="38" fillId="0" borderId="0" xfId="0" applyFont="1" applyBorder="1" applyProtection="1">
      <protection hidden="1"/>
    </xf>
    <xf numFmtId="0" fontId="38" fillId="0" borderId="5" xfId="0" applyFont="1" applyBorder="1" applyAlignment="1" applyProtection="1">
      <alignment horizontal="right"/>
      <protection hidden="1"/>
    </xf>
    <xf numFmtId="0" fontId="28" fillId="0" borderId="0" xfId="0" applyFont="1" applyFill="1" applyBorder="1" applyAlignment="1" applyProtection="1">
      <alignment horizontal="left" vertical="center"/>
      <protection hidden="1"/>
    </xf>
    <xf numFmtId="0" fontId="27" fillId="0" borderId="4" xfId="0" applyFont="1" applyFill="1" applyBorder="1" applyProtection="1">
      <protection hidden="1"/>
    </xf>
    <xf numFmtId="0" fontId="21" fillId="0" borderId="5" xfId="0" applyFont="1" applyFill="1" applyBorder="1" applyProtection="1">
      <protection hidden="1"/>
    </xf>
    <xf numFmtId="0" fontId="27" fillId="0" borderId="0" xfId="0" applyFont="1" applyBorder="1" applyAlignment="1" applyProtection="1">
      <alignment horizontal="right"/>
      <protection hidden="1"/>
    </xf>
    <xf numFmtId="0" fontId="21" fillId="0" borderId="19" xfId="0" applyFont="1" applyBorder="1" applyProtection="1">
      <protection hidden="1"/>
    </xf>
    <xf numFmtId="0" fontId="21" fillId="2" borderId="20" xfId="0" applyFont="1" applyFill="1" applyBorder="1" applyAlignment="1" applyProtection="1">
      <alignment horizontal="center"/>
      <protection hidden="1"/>
    </xf>
    <xf numFmtId="1" fontId="21" fillId="3" borderId="20" xfId="0" applyNumberFormat="1" applyFont="1" applyFill="1" applyBorder="1" applyAlignment="1" applyProtection="1">
      <alignment horizontal="center"/>
      <protection locked="0"/>
    </xf>
    <xf numFmtId="0" fontId="21" fillId="2" borderId="21" xfId="0" applyFont="1" applyFill="1" applyBorder="1" applyAlignment="1" applyProtection="1">
      <alignment horizontal="center"/>
      <protection hidden="1"/>
    </xf>
    <xf numFmtId="1" fontId="21" fillId="3" borderId="21" xfId="0" applyNumberFormat="1" applyFont="1" applyFill="1" applyBorder="1" applyAlignment="1" applyProtection="1">
      <alignment horizontal="center"/>
      <protection locked="0"/>
    </xf>
    <xf numFmtId="0" fontId="21" fillId="2" borderId="22" xfId="0" applyFont="1" applyFill="1" applyBorder="1" applyAlignment="1" applyProtection="1">
      <alignment horizontal="center"/>
      <protection hidden="1"/>
    </xf>
    <xf numFmtId="1" fontId="21" fillId="3" borderId="22" xfId="0" applyNumberFormat="1" applyFont="1" applyFill="1" applyBorder="1" applyAlignment="1" applyProtection="1">
      <alignment horizontal="center"/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27" fillId="0" borderId="19" xfId="0" applyFont="1" applyBorder="1" applyProtection="1">
      <protection hidden="1"/>
    </xf>
    <xf numFmtId="0" fontId="21" fillId="2" borderId="23" xfId="0" applyFont="1" applyFill="1" applyBorder="1" applyAlignment="1" applyProtection="1">
      <alignment horizontal="center"/>
      <protection hidden="1"/>
    </xf>
    <xf numFmtId="1" fontId="21" fillId="7" borderId="23" xfId="0" applyNumberFormat="1" applyFont="1" applyFill="1" applyBorder="1" applyAlignment="1" applyProtection="1">
      <alignment horizontal="center"/>
      <protection hidden="1"/>
    </xf>
    <xf numFmtId="0" fontId="27" fillId="0" borderId="24" xfId="0" applyFont="1" applyBorder="1" applyProtection="1">
      <protection hidden="1"/>
    </xf>
    <xf numFmtId="0" fontId="21" fillId="0" borderId="24" xfId="0" applyFont="1" applyBorder="1" applyProtection="1">
      <protection hidden="1"/>
    </xf>
    <xf numFmtId="0" fontId="33" fillId="0" borderId="0" xfId="0" applyFont="1" applyBorder="1" applyAlignment="1" applyProtection="1">
      <alignment horizontal="right"/>
      <protection hidden="1"/>
    </xf>
    <xf numFmtId="0" fontId="32" fillId="0" borderId="0" xfId="0" applyFont="1" applyFill="1" applyBorder="1" applyProtection="1">
      <protection hidden="1"/>
    </xf>
    <xf numFmtId="0" fontId="24" fillId="0" borderId="4" xfId="0" applyFont="1" applyBorder="1" applyProtection="1">
      <protection hidden="1"/>
    </xf>
    <xf numFmtId="0" fontId="27" fillId="0" borderId="5" xfId="0" applyFont="1" applyBorder="1" applyProtection="1">
      <protection hidden="1"/>
    </xf>
    <xf numFmtId="0" fontId="21" fillId="2" borderId="18" xfId="0" applyFont="1" applyFill="1" applyBorder="1" applyAlignment="1" applyProtection="1">
      <alignment horizontal="center"/>
      <protection hidden="1"/>
    </xf>
    <xf numFmtId="14" fontId="27" fillId="0" borderId="5" xfId="0" applyNumberFormat="1" applyFont="1" applyBorder="1" applyAlignment="1" applyProtection="1">
      <alignment horizontal="center"/>
      <protection hidden="1"/>
    </xf>
    <xf numFmtId="0" fontId="21" fillId="2" borderId="25" xfId="0" applyFont="1" applyFill="1" applyBorder="1" applyAlignment="1" applyProtection="1">
      <alignment horizontal="left"/>
      <protection hidden="1"/>
    </xf>
    <xf numFmtId="1" fontId="21" fillId="2" borderId="26" xfId="0" applyNumberFormat="1" applyFont="1" applyFill="1" applyBorder="1" applyAlignment="1" applyProtection="1">
      <alignment horizontal="center"/>
      <protection hidden="1"/>
    </xf>
    <xf numFmtId="1" fontId="41" fillId="2" borderId="27" xfId="0" applyNumberFormat="1" applyFont="1" applyFill="1" applyBorder="1" applyAlignment="1" applyProtection="1">
      <alignment horizontal="center"/>
      <protection hidden="1"/>
    </xf>
    <xf numFmtId="0" fontId="21" fillId="3" borderId="25" xfId="0" applyFont="1" applyFill="1" applyBorder="1" applyAlignment="1" applyProtection="1">
      <alignment horizontal="center"/>
      <protection locked="0"/>
    </xf>
    <xf numFmtId="0" fontId="21" fillId="2" borderId="28" xfId="0" applyFont="1" applyFill="1" applyBorder="1" applyAlignment="1" applyProtection="1">
      <alignment horizontal="left"/>
      <protection hidden="1"/>
    </xf>
    <xf numFmtId="1" fontId="21" fillId="2" borderId="29" xfId="0" applyNumberFormat="1" applyFont="1" applyFill="1" applyBorder="1" applyAlignment="1" applyProtection="1">
      <alignment horizontal="center"/>
      <protection hidden="1"/>
    </xf>
    <xf numFmtId="1" fontId="41" fillId="2" borderId="30" xfId="0" applyNumberFormat="1" applyFont="1" applyFill="1" applyBorder="1" applyAlignment="1" applyProtection="1">
      <alignment horizontal="center"/>
      <protection hidden="1"/>
    </xf>
    <xf numFmtId="0" fontId="21" fillId="3" borderId="28" xfId="0" applyFont="1" applyFill="1" applyBorder="1" applyAlignment="1" applyProtection="1">
      <alignment horizontal="center"/>
      <protection locked="0"/>
    </xf>
    <xf numFmtId="0" fontId="21" fillId="0" borderId="6" xfId="0" applyFont="1" applyBorder="1" applyAlignment="1" applyProtection="1">
      <alignment horizontal="left"/>
      <protection hidden="1"/>
    </xf>
    <xf numFmtId="1" fontId="21" fillId="0" borderId="7" xfId="0" applyNumberFormat="1" applyFont="1" applyBorder="1" applyAlignment="1" applyProtection="1">
      <alignment horizontal="center"/>
      <protection hidden="1"/>
    </xf>
    <xf numFmtId="1" fontId="41" fillId="0" borderId="8" xfId="0" applyNumberFormat="1" applyFont="1" applyBorder="1" applyAlignment="1" applyProtection="1">
      <alignment horizontal="center"/>
      <protection hidden="1"/>
    </xf>
    <xf numFmtId="0" fontId="21" fillId="0" borderId="8" xfId="0" applyFont="1" applyBorder="1" applyProtection="1">
      <protection hidden="1"/>
    </xf>
    <xf numFmtId="0" fontId="27" fillId="0" borderId="7" xfId="0" applyFont="1" applyBorder="1" applyProtection="1">
      <protection hidden="1"/>
    </xf>
    <xf numFmtId="0" fontId="43" fillId="0" borderId="0" xfId="0" applyFont="1" applyProtection="1">
      <protection hidden="1"/>
    </xf>
    <xf numFmtId="0" fontId="45" fillId="0" borderId="0" xfId="0" applyFont="1" applyProtection="1">
      <protection hidden="1"/>
    </xf>
    <xf numFmtId="0" fontId="33" fillId="0" borderId="4" xfId="0" applyFont="1" applyFill="1" applyBorder="1" applyProtection="1"/>
    <xf numFmtId="0" fontId="33" fillId="0" borderId="0" xfId="0" applyFont="1" applyFill="1" applyBorder="1" applyProtection="1"/>
    <xf numFmtId="0" fontId="33" fillId="0" borderId="7" xfId="0" applyFont="1" applyFill="1" applyBorder="1" applyProtection="1"/>
    <xf numFmtId="0" fontId="33" fillId="0" borderId="5" xfId="0" applyFont="1" applyFill="1" applyBorder="1" applyProtection="1"/>
    <xf numFmtId="0" fontId="33" fillId="0" borderId="0" xfId="0" applyFont="1" applyFill="1" applyBorder="1" applyAlignment="1" applyProtection="1">
      <alignment horizontal="center"/>
    </xf>
    <xf numFmtId="0" fontId="33" fillId="0" borderId="23" xfId="0" applyFont="1" applyFill="1" applyBorder="1" applyAlignment="1" applyProtection="1">
      <alignment horizontal="center"/>
    </xf>
    <xf numFmtId="0" fontId="33" fillId="0" borderId="19" xfId="0" applyFont="1" applyFill="1" applyBorder="1" applyAlignment="1" applyProtection="1">
      <alignment horizontal="center"/>
    </xf>
    <xf numFmtId="0" fontId="32" fillId="0" borderId="0" xfId="0" applyFont="1" applyFill="1" applyBorder="1" applyAlignment="1" applyProtection="1">
      <alignment horizontal="center"/>
    </xf>
    <xf numFmtId="14" fontId="33" fillId="7" borderId="19" xfId="0" applyNumberFormat="1" applyFont="1" applyFill="1" applyBorder="1" applyAlignment="1" applyProtection="1">
      <alignment horizontal="center"/>
    </xf>
    <xf numFmtId="0" fontId="34" fillId="0" borderId="24" xfId="0" applyFont="1" applyFill="1" applyBorder="1" applyAlignment="1" applyProtection="1">
      <alignment horizontal="center"/>
    </xf>
    <xf numFmtId="0" fontId="28" fillId="0" borderId="0" xfId="0" applyFont="1" applyFill="1" applyBorder="1" applyProtection="1"/>
    <xf numFmtId="166" fontId="33" fillId="0" borderId="0" xfId="0" applyNumberFormat="1" applyFont="1" applyFill="1" applyBorder="1" applyProtection="1"/>
    <xf numFmtId="0" fontId="28" fillId="2" borderId="0" xfId="0" applyFont="1" applyFill="1" applyBorder="1" applyProtection="1"/>
    <xf numFmtId="0" fontId="33" fillId="2" borderId="0" xfId="0" applyFont="1" applyFill="1" applyBorder="1" applyProtection="1"/>
    <xf numFmtId="0" fontId="33" fillId="0" borderId="4" xfId="0" applyFont="1" applyFill="1" applyBorder="1" applyProtection="1">
      <protection hidden="1"/>
    </xf>
    <xf numFmtId="0" fontId="28" fillId="0" borderId="0" xfId="0" applyFont="1" applyFill="1" applyBorder="1" applyProtection="1">
      <protection hidden="1"/>
    </xf>
    <xf numFmtId="0" fontId="33" fillId="0" borderId="0" xfId="0" applyFont="1" applyFill="1" applyBorder="1" applyProtection="1">
      <protection hidden="1"/>
    </xf>
    <xf numFmtId="0" fontId="33" fillId="0" borderId="5" xfId="0" applyFont="1" applyFill="1" applyBorder="1" applyProtection="1">
      <protection hidden="1"/>
    </xf>
    <xf numFmtId="0" fontId="21" fillId="0" borderId="6" xfId="0" applyFont="1" applyBorder="1"/>
    <xf numFmtId="0" fontId="32" fillId="0" borderId="7" xfId="0" applyFont="1" applyBorder="1"/>
    <xf numFmtId="0" fontId="48" fillId="0" borderId="0" xfId="0" applyFont="1"/>
    <xf numFmtId="0" fontId="50" fillId="0" borderId="0" xfId="0" applyFont="1" applyProtection="1">
      <protection hidden="1"/>
    </xf>
    <xf numFmtId="0" fontId="23" fillId="0" borderId="4" xfId="0" applyFont="1" applyBorder="1" applyProtection="1">
      <protection hidden="1"/>
    </xf>
    <xf numFmtId="0" fontId="23" fillId="0" borderId="0" xfId="0" applyFont="1" applyBorder="1" applyProtection="1">
      <protection hidden="1"/>
    </xf>
    <xf numFmtId="0" fontId="23" fillId="0" borderId="0" xfId="0" applyFont="1" applyFill="1" applyBorder="1" applyProtection="1">
      <protection hidden="1"/>
    </xf>
    <xf numFmtId="0" fontId="23" fillId="0" borderId="5" xfId="0" applyFont="1" applyBorder="1" applyProtection="1">
      <protection hidden="1"/>
    </xf>
    <xf numFmtId="0" fontId="0" fillId="0" borderId="0" xfId="0" applyBorder="1" applyAlignment="1" applyProtection="1">
      <protection hidden="1"/>
    </xf>
    <xf numFmtId="0" fontId="33" fillId="0" borderId="0" xfId="0" applyFont="1" applyBorder="1" applyProtection="1">
      <protection hidden="1"/>
    </xf>
    <xf numFmtId="0" fontId="28" fillId="0" borderId="0" xfId="0" applyFont="1" applyFill="1" applyBorder="1" applyAlignment="1" applyProtection="1">
      <protection hidden="1"/>
    </xf>
    <xf numFmtId="0" fontId="33" fillId="0" borderId="0" xfId="0" applyFont="1" applyFill="1" applyBorder="1" applyAlignment="1" applyProtection="1">
      <protection hidden="1"/>
    </xf>
    <xf numFmtId="0" fontId="28" fillId="0" borderId="0" xfId="0" applyFont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protection hidden="1"/>
    </xf>
    <xf numFmtId="0" fontId="51" fillId="0" borderId="0" xfId="0" applyFont="1" applyFill="1" applyBorder="1" applyAlignment="1" applyProtection="1">
      <alignment vertical="center"/>
      <protection hidden="1"/>
    </xf>
    <xf numFmtId="0" fontId="51" fillId="0" borderId="0" xfId="0" applyFont="1" applyFill="1" applyBorder="1" applyAlignment="1" applyProtection="1">
      <alignment horizontal="left" vertical="center"/>
      <protection hidden="1"/>
    </xf>
    <xf numFmtId="0" fontId="52" fillId="0" borderId="0" xfId="0" applyFont="1" applyFill="1" applyBorder="1" applyAlignment="1" applyProtection="1">
      <alignment vertical="center"/>
      <protection hidden="1"/>
    </xf>
    <xf numFmtId="0" fontId="21" fillId="0" borderId="5" xfId="0" applyFont="1" applyFill="1" applyBorder="1" applyAlignment="1" applyProtection="1">
      <alignment vertical="center"/>
      <protection hidden="1"/>
    </xf>
    <xf numFmtId="0" fontId="21" fillId="0" borderId="0" xfId="0" applyFont="1" applyFill="1" applyAlignment="1" applyProtection="1">
      <alignment vertical="center"/>
      <protection hidden="1"/>
    </xf>
    <xf numFmtId="0" fontId="53" fillId="3" borderId="0" xfId="0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Protection="1"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28" fillId="0" borderId="4" xfId="0" applyFont="1" applyBorder="1" applyAlignment="1" applyProtection="1">
      <alignment horizontal="left" vertical="center"/>
      <protection hidden="1"/>
    </xf>
    <xf numFmtId="0" fontId="28" fillId="2" borderId="0" xfId="0" applyFont="1" applyFill="1" applyBorder="1" applyAlignment="1" applyProtection="1">
      <alignment horizontal="left" vertical="center"/>
      <protection hidden="1"/>
    </xf>
    <xf numFmtId="0" fontId="0" fillId="2" borderId="0" xfId="0" applyFill="1" applyBorder="1" applyAlignment="1" applyProtection="1">
      <alignment horizontal="center"/>
      <protection hidden="1"/>
    </xf>
    <xf numFmtId="0" fontId="54" fillId="0" borderId="4" xfId="0" applyFont="1" applyBorder="1" applyProtection="1">
      <protection hidden="1"/>
    </xf>
    <xf numFmtId="0" fontId="0" fillId="0" borderId="23" xfId="0" applyBorder="1" applyAlignment="1" applyProtection="1">
      <alignment horizontal="center"/>
      <protection hidden="1"/>
    </xf>
    <xf numFmtId="0" fontId="33" fillId="0" borderId="19" xfId="0" applyFont="1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36" xfId="0" applyBorder="1" applyProtection="1">
      <protection hidden="1"/>
    </xf>
    <xf numFmtId="49" fontId="33" fillId="0" borderId="14" xfId="0" applyNumberFormat="1" applyFont="1" applyBorder="1" applyAlignment="1" applyProtection="1">
      <alignment horizontal="right" vertical="center"/>
      <protection hidden="1"/>
    </xf>
    <xf numFmtId="167" fontId="0" fillId="0" borderId="0" xfId="0" applyNumberFormat="1" applyBorder="1" applyAlignment="1" applyProtection="1">
      <alignment horizontal="right" vertical="center"/>
      <protection hidden="1"/>
    </xf>
    <xf numFmtId="4" fontId="34" fillId="7" borderId="14" xfId="0" applyNumberFormat="1" applyFont="1" applyFill="1" applyBorder="1" applyAlignment="1" applyProtection="1">
      <alignment horizontal="right" vertical="center"/>
      <protection hidden="1"/>
    </xf>
    <xf numFmtId="0" fontId="0" fillId="0" borderId="37" xfId="0" applyBorder="1" applyAlignment="1" applyProtection="1">
      <alignment vertical="center"/>
      <protection hidden="1"/>
    </xf>
    <xf numFmtId="0" fontId="0" fillId="0" borderId="38" xfId="0" applyFill="1" applyBorder="1" applyAlignment="1" applyProtection="1">
      <alignment vertical="center"/>
      <protection hidden="1"/>
    </xf>
    <xf numFmtId="0" fontId="0" fillId="0" borderId="38" xfId="0" applyBorder="1" applyAlignment="1" applyProtection="1">
      <alignment vertical="center"/>
      <protection hidden="1"/>
    </xf>
    <xf numFmtId="49" fontId="33" fillId="0" borderId="14" xfId="0" applyNumberFormat="1" applyFont="1" applyFill="1" applyBorder="1" applyAlignment="1" applyProtection="1">
      <alignment horizontal="right" vertical="center"/>
      <protection hidden="1"/>
    </xf>
    <xf numFmtId="167" fontId="33" fillId="0" borderId="0" xfId="0" applyNumberFormat="1" applyFont="1" applyFill="1" applyBorder="1" applyAlignment="1" applyProtection="1">
      <alignment horizontal="right" vertical="center"/>
      <protection hidden="1"/>
    </xf>
    <xf numFmtId="167" fontId="33" fillId="3" borderId="14" xfId="1" applyNumberFormat="1" applyFont="1" applyFill="1" applyBorder="1" applyAlignment="1" applyProtection="1">
      <alignment horizontal="right" vertical="center"/>
      <protection locked="0"/>
    </xf>
    <xf numFmtId="0" fontId="33" fillId="0" borderId="37" xfId="0" applyFont="1" applyFill="1" applyBorder="1" applyAlignment="1" applyProtection="1">
      <alignment vertical="center"/>
      <protection hidden="1"/>
    </xf>
    <xf numFmtId="0" fontId="33" fillId="0" borderId="38" xfId="0" applyFont="1" applyFill="1" applyBorder="1" applyAlignment="1" applyProtection="1">
      <alignment vertical="center"/>
      <protection hidden="1"/>
    </xf>
    <xf numFmtId="16" fontId="0" fillId="0" borderId="5" xfId="0" applyNumberFormat="1" applyBorder="1" applyAlignment="1" applyProtection="1">
      <alignment vertical="center"/>
      <protection hidden="1"/>
    </xf>
    <xf numFmtId="49" fontId="0" fillId="0" borderId="0" xfId="0" applyNumberFormat="1" applyBorder="1" applyAlignment="1" applyProtection="1">
      <alignment vertical="center"/>
      <protection hidden="1"/>
    </xf>
    <xf numFmtId="4" fontId="34" fillId="7" borderId="42" xfId="0" applyNumberFormat="1" applyFont="1" applyFill="1" applyBorder="1" applyAlignment="1" applyProtection="1">
      <alignment horizontal="right" vertical="center"/>
      <protection hidden="1"/>
    </xf>
    <xf numFmtId="0" fontId="0" fillId="0" borderId="43" xfId="0" applyBorder="1" applyAlignment="1" applyProtection="1">
      <alignment vertical="center"/>
      <protection hidden="1"/>
    </xf>
    <xf numFmtId="0" fontId="0" fillId="0" borderId="44" xfId="0" applyBorder="1" applyAlignment="1" applyProtection="1">
      <alignment vertical="center"/>
      <protection hidden="1"/>
    </xf>
    <xf numFmtId="0" fontId="28" fillId="2" borderId="0" xfId="0" applyFont="1" applyFill="1" applyBorder="1" applyProtection="1"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16" fontId="33" fillId="0" borderId="14" xfId="0" quotePrefix="1" applyNumberFormat="1" applyFont="1" applyBorder="1" applyAlignment="1" applyProtection="1">
      <alignment horizontal="right"/>
      <protection hidden="1"/>
    </xf>
    <xf numFmtId="3" fontId="0" fillId="0" borderId="0" xfId="0" applyNumberFormat="1" applyBorder="1" applyAlignment="1" applyProtection="1">
      <alignment horizontal="right" vertical="center"/>
      <protection hidden="1"/>
    </xf>
    <xf numFmtId="4" fontId="34" fillId="7" borderId="12" xfId="0" applyNumberFormat="1" applyFont="1" applyFill="1" applyBorder="1" applyAlignment="1" applyProtection="1">
      <alignment horizontal="right" vertical="center"/>
      <protection hidden="1"/>
    </xf>
    <xf numFmtId="0" fontId="27" fillId="0" borderId="39" xfId="0" applyFont="1" applyBorder="1" applyAlignment="1" applyProtection="1">
      <alignment vertical="center"/>
      <protection hidden="1"/>
    </xf>
    <xf numFmtId="0" fontId="21" fillId="0" borderId="40" xfId="0" applyFont="1" applyBorder="1" applyAlignment="1" applyProtection="1">
      <alignment vertical="center"/>
      <protection hidden="1"/>
    </xf>
    <xf numFmtId="0" fontId="21" fillId="0" borderId="41" xfId="0" applyFont="1" applyBorder="1" applyAlignment="1" applyProtection="1">
      <alignment vertical="center"/>
      <protection hidden="1"/>
    </xf>
    <xf numFmtId="3" fontId="28" fillId="0" borderId="0" xfId="0" applyNumberFormat="1" applyFont="1" applyBorder="1" applyAlignment="1" applyProtection="1">
      <alignment horizontal="right" vertical="center"/>
      <protection hidden="1"/>
    </xf>
    <xf numFmtId="0" fontId="0" fillId="0" borderId="7" xfId="0" applyBorder="1" applyAlignment="1" applyProtection="1">
      <protection hidden="1"/>
    </xf>
    <xf numFmtId="0" fontId="0" fillId="0" borderId="7" xfId="0" applyFill="1" applyBorder="1" applyProtection="1">
      <protection hidden="1"/>
    </xf>
    <xf numFmtId="0" fontId="21" fillId="2" borderId="0" xfId="0" applyFont="1" applyFill="1" applyBorder="1" applyProtection="1">
      <protection hidden="1"/>
    </xf>
    <xf numFmtId="2" fontId="21" fillId="0" borderId="0" xfId="0" applyNumberFormat="1" applyFont="1" applyBorder="1" applyAlignment="1" applyProtection="1">
      <alignment horizontal="center"/>
      <protection hidden="1"/>
    </xf>
    <xf numFmtId="0" fontId="38" fillId="0" borderId="0" xfId="0" quotePrefix="1" applyFont="1" applyBorder="1" applyAlignment="1" applyProtection="1">
      <alignment horizontal="right"/>
      <protection hidden="1"/>
    </xf>
    <xf numFmtId="0" fontId="33" fillId="0" borderId="0" xfId="0" applyFont="1" applyFill="1" applyBorder="1" applyAlignment="1" applyProtection="1">
      <alignment horizontal="right"/>
      <protection hidden="1"/>
    </xf>
    <xf numFmtId="0" fontId="57" fillId="0" borderId="0" xfId="0" applyFont="1" applyBorder="1" applyAlignment="1" applyProtection="1">
      <alignment horizontal="left" vertical="center" wrapText="1"/>
      <protection hidden="1"/>
    </xf>
    <xf numFmtId="0" fontId="57" fillId="0" borderId="5" xfId="0" applyFont="1" applyBorder="1" applyAlignment="1" applyProtection="1">
      <alignment horizontal="left" vertical="center" wrapText="1"/>
      <protection hidden="1"/>
    </xf>
    <xf numFmtId="1" fontId="21" fillId="3" borderId="14" xfId="0" applyNumberFormat="1" applyFont="1" applyFill="1" applyBorder="1" applyAlignment="1" applyProtection="1">
      <alignment horizontal="center"/>
      <protection locked="0"/>
    </xf>
    <xf numFmtId="0" fontId="21" fillId="0" borderId="0" xfId="0" applyFont="1" applyFill="1" applyBorder="1" applyAlignment="1" applyProtection="1">
      <alignment horizontal="center"/>
      <protection hidden="1"/>
    </xf>
    <xf numFmtId="0" fontId="27" fillId="2" borderId="0" xfId="0" applyFont="1" applyFill="1" applyBorder="1" applyProtection="1">
      <protection hidden="1"/>
    </xf>
    <xf numFmtId="0" fontId="39" fillId="0" borderId="0" xfId="0" applyFont="1" applyBorder="1" applyProtection="1">
      <protection hidden="1"/>
    </xf>
    <xf numFmtId="0" fontId="21" fillId="0" borderId="0" xfId="0" quotePrefix="1" applyFont="1" applyBorder="1" applyAlignment="1" applyProtection="1">
      <alignment horizontal="left"/>
      <protection hidden="1"/>
    </xf>
    <xf numFmtId="2" fontId="33" fillId="7" borderId="7" xfId="0" applyNumberFormat="1" applyFont="1" applyFill="1" applyBorder="1" applyAlignment="1" applyProtection="1">
      <protection hidden="1"/>
    </xf>
    <xf numFmtId="0" fontId="21" fillId="0" borderId="4" xfId="0" applyFont="1" applyFill="1" applyBorder="1" applyProtection="1">
      <protection hidden="1"/>
    </xf>
    <xf numFmtId="0" fontId="21" fillId="0" borderId="0" xfId="0" applyFont="1" applyFill="1" applyBorder="1" applyAlignment="1" applyProtection="1">
      <protection hidden="1"/>
    </xf>
    <xf numFmtId="0" fontId="21" fillId="0" borderId="0" xfId="0" applyFont="1" applyFill="1" applyBorder="1" applyAlignment="1" applyProtection="1">
      <alignment vertical="top"/>
      <protection hidden="1"/>
    </xf>
    <xf numFmtId="0" fontId="27" fillId="0" borderId="0" xfId="0" applyFont="1" applyFill="1" applyBorder="1" applyAlignment="1" applyProtection="1">
      <alignment horizontal="right"/>
      <protection hidden="1"/>
    </xf>
    <xf numFmtId="0" fontId="47" fillId="0" borderId="0" xfId="0" applyFont="1" applyProtection="1">
      <protection hidden="1"/>
    </xf>
    <xf numFmtId="49" fontId="33" fillId="0" borderId="0" xfId="0" applyNumberFormat="1" applyFont="1" applyFill="1" applyBorder="1" applyProtection="1">
      <protection hidden="1"/>
    </xf>
    <xf numFmtId="49" fontId="33" fillId="0" borderId="0" xfId="0" applyNumberFormat="1" applyFont="1" applyFill="1" applyBorder="1" applyAlignment="1" applyProtection="1">
      <alignment horizontal="center"/>
      <protection hidden="1"/>
    </xf>
    <xf numFmtId="1" fontId="21" fillId="0" borderId="0" xfId="0" applyNumberFormat="1" applyFont="1" applyBorder="1" applyAlignment="1" applyProtection="1">
      <alignment horizontal="left"/>
      <protection hidden="1"/>
    </xf>
    <xf numFmtId="1" fontId="28" fillId="0" borderId="0" xfId="0" applyNumberFormat="1" applyFont="1" applyBorder="1" applyProtection="1">
      <protection hidden="1"/>
    </xf>
    <xf numFmtId="0" fontId="28" fillId="0" borderId="0" xfId="0" applyFont="1" applyBorder="1" applyAlignment="1" applyProtection="1">
      <alignment horizontal="left"/>
      <protection hidden="1"/>
    </xf>
    <xf numFmtId="0" fontId="33" fillId="0" borderId="2" xfId="0" applyFont="1" applyBorder="1" applyProtection="1">
      <protection hidden="1"/>
    </xf>
    <xf numFmtId="1" fontId="21" fillId="0" borderId="18" xfId="0" applyNumberFormat="1" applyFont="1" applyBorder="1" applyAlignment="1" applyProtection="1">
      <alignment horizontal="left"/>
      <protection hidden="1"/>
    </xf>
    <xf numFmtId="0" fontId="21" fillId="0" borderId="13" xfId="0" applyFont="1" applyBorder="1" applyProtection="1">
      <protection hidden="1"/>
    </xf>
    <xf numFmtId="2" fontId="21" fillId="3" borderId="14" xfId="0" applyNumberFormat="1" applyFont="1" applyFill="1" applyBorder="1" applyAlignment="1" applyProtection="1">
      <alignment horizontal="center"/>
      <protection locked="0"/>
    </xf>
    <xf numFmtId="170" fontId="38" fillId="7" borderId="14" xfId="0" applyNumberFormat="1" applyFont="1" applyFill="1" applyBorder="1" applyAlignment="1" applyProtection="1">
      <alignment horizontal="center"/>
      <protection hidden="1"/>
    </xf>
    <xf numFmtId="49" fontId="33" fillId="0" borderId="7" xfId="0" applyNumberFormat="1" applyFont="1" applyFill="1" applyBorder="1" applyProtection="1">
      <protection hidden="1"/>
    </xf>
    <xf numFmtId="49" fontId="33" fillId="0" borderId="7" xfId="0" applyNumberFormat="1" applyFont="1" applyFill="1" applyBorder="1" applyAlignment="1" applyProtection="1">
      <alignment horizontal="center"/>
      <protection hidden="1"/>
    </xf>
    <xf numFmtId="0" fontId="33" fillId="0" borderId="7" xfId="0" applyFont="1" applyBorder="1" applyProtection="1">
      <protection hidden="1"/>
    </xf>
    <xf numFmtId="0" fontId="33" fillId="0" borderId="12" xfId="0" applyFont="1" applyBorder="1" applyProtection="1">
      <protection hidden="1"/>
    </xf>
    <xf numFmtId="0" fontId="33" fillId="0" borderId="18" xfId="0" applyFont="1" applyBorder="1" applyProtection="1">
      <protection hidden="1"/>
    </xf>
    <xf numFmtId="0" fontId="33" fillId="0" borderId="18" xfId="0" applyFont="1" applyBorder="1" applyAlignment="1" applyProtection="1">
      <alignment vertical="top"/>
      <protection hidden="1"/>
    </xf>
    <xf numFmtId="1" fontId="28" fillId="0" borderId="13" xfId="0" applyNumberFormat="1" applyFont="1" applyBorder="1" applyAlignment="1" applyProtection="1">
      <alignment vertical="top"/>
      <protection hidden="1"/>
    </xf>
    <xf numFmtId="2" fontId="38" fillId="7" borderId="14" xfId="0" applyNumberFormat="1" applyFont="1" applyFill="1" applyBorder="1" applyAlignment="1" applyProtection="1">
      <alignment horizontal="center"/>
      <protection hidden="1"/>
    </xf>
    <xf numFmtId="0" fontId="21" fillId="0" borderId="18" xfId="0" applyFont="1" applyBorder="1" applyProtection="1">
      <protection hidden="1"/>
    </xf>
    <xf numFmtId="0" fontId="28" fillId="0" borderId="0" xfId="0" applyFont="1" applyFill="1" applyBorder="1" applyAlignment="1" applyProtection="1">
      <alignment horizontal="right"/>
      <protection hidden="1"/>
    </xf>
    <xf numFmtId="0" fontId="28" fillId="0" borderId="0" xfId="0" applyFont="1" applyFill="1" applyBorder="1" applyAlignment="1" applyProtection="1">
      <alignment horizontal="left"/>
      <protection hidden="1"/>
    </xf>
    <xf numFmtId="1" fontId="33" fillId="0" borderId="13" xfId="0" applyNumberFormat="1" applyFont="1" applyBorder="1" applyAlignment="1" applyProtection="1">
      <alignment horizontal="right"/>
      <protection hidden="1"/>
    </xf>
    <xf numFmtId="1" fontId="38" fillId="7" borderId="14" xfId="0" applyNumberFormat="1" applyFont="1" applyFill="1" applyBorder="1" applyAlignment="1" applyProtection="1">
      <alignment horizontal="center"/>
      <protection hidden="1"/>
    </xf>
    <xf numFmtId="0" fontId="33" fillId="0" borderId="12" xfId="0" applyFont="1" applyFill="1" applyBorder="1" applyAlignment="1" applyProtection="1">
      <alignment horizontal="left"/>
      <protection hidden="1"/>
    </xf>
    <xf numFmtId="0" fontId="33" fillId="0" borderId="18" xfId="0" applyFont="1" applyFill="1" applyBorder="1" applyAlignment="1" applyProtection="1">
      <alignment horizontal="left"/>
      <protection hidden="1"/>
    </xf>
    <xf numFmtId="0" fontId="33" fillId="0" borderId="13" xfId="0" applyFont="1" applyFill="1" applyBorder="1" applyAlignment="1" applyProtection="1">
      <alignment horizontal="left"/>
      <protection hidden="1"/>
    </xf>
    <xf numFmtId="2" fontId="21" fillId="7" borderId="14" xfId="0" applyNumberFormat="1" applyFont="1" applyFill="1" applyBorder="1" applyAlignment="1" applyProtection="1">
      <alignment horizontal="center"/>
      <protection hidden="1"/>
    </xf>
    <xf numFmtId="0" fontId="33" fillId="0" borderId="0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left"/>
      <protection hidden="1"/>
    </xf>
    <xf numFmtId="0" fontId="28" fillId="0" borderId="0" xfId="0" applyFont="1" applyBorder="1" applyAlignment="1" applyProtection="1">
      <alignment vertical="top"/>
      <protection hidden="1"/>
    </xf>
    <xf numFmtId="1" fontId="21" fillId="0" borderId="0" xfId="0" applyNumberFormat="1" applyFont="1" applyBorder="1" applyProtection="1">
      <protection hidden="1"/>
    </xf>
    <xf numFmtId="0" fontId="21" fillId="0" borderId="12" xfId="0" applyFont="1" applyBorder="1" applyProtection="1">
      <protection hidden="1"/>
    </xf>
    <xf numFmtId="0" fontId="21" fillId="0" borderId="0" xfId="0" applyNumberFormat="1" applyFont="1" applyBorder="1" applyAlignment="1" applyProtection="1">
      <protection hidden="1"/>
    </xf>
    <xf numFmtId="0" fontId="33" fillId="0" borderId="0" xfId="0" applyNumberFormat="1" applyFont="1" applyFill="1" applyBorder="1" applyAlignment="1" applyProtection="1">
      <protection hidden="1"/>
    </xf>
    <xf numFmtId="14" fontId="33" fillId="0" borderId="0" xfId="0" applyNumberFormat="1" applyFont="1" applyFill="1" applyBorder="1" applyAlignment="1" applyProtection="1">
      <protection hidden="1"/>
    </xf>
    <xf numFmtId="0" fontId="60" fillId="0" borderId="0" xfId="0" applyFont="1" applyProtection="1">
      <protection hidden="1"/>
    </xf>
    <xf numFmtId="0" fontId="40" fillId="0" borderId="0" xfId="0" applyFont="1" applyFill="1" applyBorder="1" applyAlignment="1" applyProtection="1">
      <alignment horizontal="left"/>
      <protection hidden="1"/>
    </xf>
    <xf numFmtId="0" fontId="33" fillId="8" borderId="0" xfId="0" applyFont="1" applyFill="1" applyBorder="1" applyAlignment="1" applyProtection="1">
      <alignment horizontal="left"/>
      <protection hidden="1"/>
    </xf>
    <xf numFmtId="3" fontId="28" fillId="7" borderId="14" xfId="0" applyNumberFormat="1" applyFont="1" applyFill="1" applyBorder="1" applyAlignment="1" applyProtection="1">
      <alignment horizontal="center"/>
      <protection hidden="1"/>
    </xf>
    <xf numFmtId="0" fontId="21" fillId="8" borderId="0" xfId="0" applyFont="1" applyFill="1" applyBorder="1" applyProtection="1">
      <protection hidden="1"/>
    </xf>
    <xf numFmtId="0" fontId="21" fillId="0" borderId="0" xfId="0" applyFont="1" applyFill="1" applyBorder="1" applyAlignment="1" applyProtection="1">
      <alignment horizontal="right"/>
      <protection hidden="1"/>
    </xf>
    <xf numFmtId="0" fontId="27" fillId="7" borderId="14" xfId="0" applyFont="1" applyFill="1" applyBorder="1" applyAlignment="1" applyProtection="1">
      <alignment horizontal="center"/>
      <protection hidden="1"/>
    </xf>
    <xf numFmtId="4" fontId="27" fillId="7" borderId="14" xfId="0" applyNumberFormat="1" applyFont="1" applyFill="1" applyBorder="1" applyAlignment="1" applyProtection="1">
      <alignment horizontal="center"/>
      <protection hidden="1"/>
    </xf>
    <xf numFmtId="0" fontId="33" fillId="8" borderId="0" xfId="0" applyFont="1" applyFill="1" applyBorder="1" applyAlignment="1" applyProtection="1">
      <alignment horizontal="right"/>
      <protection hidden="1"/>
    </xf>
    <xf numFmtId="0" fontId="0" fillId="8" borderId="0" xfId="0" applyFill="1" applyBorder="1" applyProtection="1">
      <protection hidden="1"/>
    </xf>
    <xf numFmtId="1" fontId="38" fillId="8" borderId="0" xfId="0" applyNumberFormat="1" applyFont="1" applyFill="1" applyAlignment="1" applyProtection="1">
      <alignment horizontal="center"/>
      <protection hidden="1"/>
    </xf>
    <xf numFmtId="1" fontId="21" fillId="7" borderId="14" xfId="0" applyNumberFormat="1" applyFont="1" applyFill="1" applyBorder="1" applyAlignment="1" applyProtection="1">
      <alignment horizontal="right" indent="1"/>
      <protection hidden="1"/>
    </xf>
    <xf numFmtId="3" fontId="38" fillId="8" borderId="0" xfId="0" applyNumberFormat="1" applyFont="1" applyFill="1" applyAlignment="1" applyProtection="1">
      <alignment horizontal="center"/>
      <protection hidden="1"/>
    </xf>
    <xf numFmtId="4" fontId="21" fillId="7" borderId="14" xfId="0" applyNumberFormat="1" applyFont="1" applyFill="1" applyBorder="1" applyProtection="1">
      <protection hidden="1"/>
    </xf>
    <xf numFmtId="4" fontId="21" fillId="2" borderId="45" xfId="0" applyNumberFormat="1" applyFont="1" applyFill="1" applyBorder="1" applyProtection="1">
      <protection hidden="1"/>
    </xf>
    <xf numFmtId="165" fontId="21" fillId="2" borderId="14" xfId="0" applyNumberFormat="1" applyFont="1" applyFill="1" applyBorder="1" applyProtection="1">
      <protection hidden="1"/>
    </xf>
    <xf numFmtId="3" fontId="0" fillId="8" borderId="0" xfId="0" applyNumberFormat="1" applyFill="1" applyBorder="1" applyAlignment="1" applyProtection="1">
      <alignment horizontal="center"/>
      <protection hidden="1"/>
    </xf>
    <xf numFmtId="0" fontId="0" fillId="2" borderId="18" xfId="0" applyFill="1" applyBorder="1" applyProtection="1">
      <protection hidden="1"/>
    </xf>
    <xf numFmtId="0" fontId="21" fillId="2" borderId="18" xfId="0" applyFont="1" applyFill="1" applyBorder="1" applyAlignment="1" applyProtection="1">
      <alignment horizontal="right"/>
      <protection hidden="1"/>
    </xf>
    <xf numFmtId="0" fontId="38" fillId="8" borderId="18" xfId="0" applyFont="1" applyFill="1" applyBorder="1" applyAlignment="1" applyProtection="1">
      <alignment horizontal="right"/>
      <protection hidden="1"/>
    </xf>
    <xf numFmtId="0" fontId="21" fillId="2" borderId="12" xfId="0" applyFont="1" applyFill="1" applyBorder="1" applyAlignment="1" applyProtection="1">
      <alignment horizontal="right"/>
      <protection hidden="1"/>
    </xf>
    <xf numFmtId="0" fontId="21" fillId="2" borderId="13" xfId="0" applyFont="1" applyFill="1" applyBorder="1" applyAlignment="1" applyProtection="1">
      <alignment horizontal="center"/>
      <protection hidden="1"/>
    </xf>
    <xf numFmtId="0" fontId="28" fillId="0" borderId="18" xfId="0" applyFont="1" applyBorder="1" applyAlignment="1" applyProtection="1">
      <alignment horizontal="left"/>
      <protection hidden="1"/>
    </xf>
    <xf numFmtId="171" fontId="38" fillId="8" borderId="18" xfId="0" applyNumberFormat="1" applyFont="1" applyFill="1" applyBorder="1" applyProtection="1">
      <protection hidden="1"/>
    </xf>
    <xf numFmtId="171" fontId="28" fillId="7" borderId="13" xfId="0" applyNumberFormat="1" applyFont="1" applyFill="1" applyBorder="1" applyAlignment="1" applyProtection="1">
      <protection hidden="1"/>
    </xf>
    <xf numFmtId="171" fontId="27" fillId="7" borderId="13" xfId="0" applyNumberFormat="1" applyFont="1" applyFill="1" applyBorder="1" applyAlignment="1" applyProtection="1">
      <protection hidden="1"/>
    </xf>
    <xf numFmtId="171" fontId="0" fillId="0" borderId="0" xfId="0" applyNumberFormat="1" applyFill="1" applyBorder="1" applyAlignment="1" applyProtection="1">
      <protection hidden="1"/>
    </xf>
    <xf numFmtId="16" fontId="21" fillId="7" borderId="18" xfId="0" quotePrefix="1" applyNumberFormat="1" applyFont="1" applyFill="1" applyBorder="1" applyAlignment="1" applyProtection="1">
      <alignment horizontal="left"/>
      <protection hidden="1"/>
    </xf>
    <xf numFmtId="171" fontId="21" fillId="7" borderId="13" xfId="0" applyNumberFormat="1" applyFont="1" applyFill="1" applyBorder="1" applyAlignment="1" applyProtection="1">
      <protection hidden="1"/>
    </xf>
    <xf numFmtId="171" fontId="0" fillId="0" borderId="2" xfId="0" applyNumberFormat="1" applyFill="1" applyBorder="1" applyAlignment="1" applyProtection="1">
      <protection hidden="1"/>
    </xf>
    <xf numFmtId="16" fontId="21" fillId="0" borderId="18" xfId="0" applyNumberFormat="1" applyFont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171" fontId="0" fillId="8" borderId="0" xfId="0" applyNumberFormat="1" applyFill="1" applyBorder="1" applyAlignment="1" applyProtection="1">
      <alignment horizontal="left"/>
      <protection hidden="1"/>
    </xf>
    <xf numFmtId="171" fontId="21" fillId="0" borderId="0" xfId="0" applyNumberFormat="1" applyFont="1" applyFill="1" applyBorder="1" applyAlignment="1" applyProtection="1">
      <protection hidden="1"/>
    </xf>
    <xf numFmtId="171" fontId="0" fillId="0" borderId="0" xfId="0" applyNumberFormat="1" applyFill="1" applyProtection="1">
      <protection hidden="1"/>
    </xf>
    <xf numFmtId="0" fontId="0" fillId="0" borderId="5" xfId="0" applyFill="1" applyBorder="1" applyProtection="1">
      <protection hidden="1"/>
    </xf>
    <xf numFmtId="49" fontId="21" fillId="7" borderId="18" xfId="0" applyNumberFormat="1" applyFont="1" applyFill="1" applyBorder="1" applyProtection="1">
      <protection hidden="1"/>
    </xf>
    <xf numFmtId="0" fontId="21" fillId="7" borderId="18" xfId="0" applyFont="1" applyFill="1" applyBorder="1" applyAlignment="1" applyProtection="1">
      <alignment horizontal="left"/>
      <protection hidden="1"/>
    </xf>
    <xf numFmtId="171" fontId="21" fillId="8" borderId="18" xfId="0" applyNumberFormat="1" applyFont="1" applyFill="1" applyBorder="1" applyProtection="1">
      <protection hidden="1"/>
    </xf>
    <xf numFmtId="171" fontId="21" fillId="0" borderId="18" xfId="0" applyNumberFormat="1" applyFont="1" applyFill="1" applyBorder="1" applyAlignment="1" applyProtection="1">
      <protection hidden="1"/>
    </xf>
    <xf numFmtId="171" fontId="21" fillId="0" borderId="13" xfId="0" applyNumberFormat="1" applyFont="1" applyFill="1" applyBorder="1" applyAlignment="1" applyProtection="1">
      <protection hidden="1"/>
    </xf>
    <xf numFmtId="171" fontId="21" fillId="7" borderId="8" xfId="0" applyNumberFormat="1" applyFont="1" applyFill="1" applyBorder="1" applyAlignment="1" applyProtection="1">
      <protection hidden="1"/>
    </xf>
    <xf numFmtId="171" fontId="0" fillId="0" borderId="18" xfId="0" applyNumberFormat="1" applyFill="1" applyBorder="1" applyAlignment="1" applyProtection="1">
      <protection hidden="1"/>
    </xf>
    <xf numFmtId="0" fontId="33" fillId="7" borderId="18" xfId="0" applyFont="1" applyFill="1" applyBorder="1" applyAlignment="1" applyProtection="1">
      <alignment horizontal="left" vertical="center"/>
      <protection hidden="1"/>
    </xf>
    <xf numFmtId="0" fontId="61" fillId="7" borderId="18" xfId="0" applyFont="1" applyFill="1" applyBorder="1" applyAlignment="1" applyProtection="1">
      <alignment horizontal="left"/>
      <protection hidden="1"/>
    </xf>
    <xf numFmtId="0" fontId="28" fillId="7" borderId="18" xfId="0" applyFont="1" applyFill="1" applyBorder="1" applyAlignment="1" applyProtection="1">
      <alignment horizontal="left"/>
      <protection hidden="1"/>
    </xf>
    <xf numFmtId="0" fontId="28" fillId="0" borderId="18" xfId="0" applyFont="1" applyBorder="1" applyAlignment="1" applyProtection="1">
      <protection hidden="1"/>
    </xf>
    <xf numFmtId="16" fontId="21" fillId="7" borderId="18" xfId="0" applyNumberFormat="1" applyFont="1" applyFill="1" applyBorder="1" applyProtection="1">
      <protection hidden="1"/>
    </xf>
    <xf numFmtId="16" fontId="21" fillId="7" borderId="18" xfId="0" quotePrefix="1" applyNumberFormat="1" applyFont="1" applyFill="1" applyBorder="1" applyAlignment="1" applyProtection="1">
      <protection hidden="1"/>
    </xf>
    <xf numFmtId="0" fontId="48" fillId="0" borderId="5" xfId="0" applyFont="1" applyBorder="1" applyAlignment="1" applyProtection="1">
      <alignment horizontal="right" indent="1"/>
      <protection hidden="1"/>
    </xf>
    <xf numFmtId="171" fontId="28" fillId="0" borderId="0" xfId="0" applyNumberFormat="1" applyFont="1" applyFill="1" applyBorder="1" applyProtection="1">
      <protection hidden="1"/>
    </xf>
    <xf numFmtId="171" fontId="0" fillId="8" borderId="0" xfId="0" applyNumberFormat="1" applyFill="1" applyBorder="1" applyProtection="1">
      <protection hidden="1"/>
    </xf>
    <xf numFmtId="171" fontId="0" fillId="0" borderId="0" xfId="0" applyNumberFormat="1" applyFill="1" applyBorder="1" applyAlignment="1" applyProtection="1">
      <alignment horizontal="right" indent="1"/>
      <protection hidden="1"/>
    </xf>
    <xf numFmtId="171" fontId="28" fillId="0" borderId="0" xfId="0" applyNumberFormat="1" applyFont="1" applyFill="1" applyBorder="1" applyAlignment="1" applyProtection="1">
      <alignment horizontal="right" indent="1"/>
      <protection hidden="1"/>
    </xf>
    <xf numFmtId="171" fontId="0" fillId="0" borderId="0" xfId="0" applyNumberFormat="1" applyFill="1" applyBorder="1" applyProtection="1">
      <protection hidden="1"/>
    </xf>
    <xf numFmtId="0" fontId="0" fillId="0" borderId="4" xfId="0" applyFont="1" applyBorder="1" applyProtection="1">
      <protection hidden="1"/>
    </xf>
    <xf numFmtId="0" fontId="32" fillId="2" borderId="18" xfId="0" applyFont="1" applyFill="1" applyBorder="1" applyAlignment="1" applyProtection="1">
      <alignment horizontal="left"/>
      <protection hidden="1"/>
    </xf>
    <xf numFmtId="171" fontId="33" fillId="7" borderId="13" xfId="0" applyNumberFormat="1" applyFont="1" applyFill="1" applyBorder="1" applyAlignment="1" applyProtection="1">
      <protection hidden="1"/>
    </xf>
    <xf numFmtId="171" fontId="0" fillId="0" borderId="0" xfId="0" applyNumberFormat="1" applyFont="1" applyProtection="1">
      <protection hidden="1"/>
    </xf>
    <xf numFmtId="0" fontId="0" fillId="0" borderId="5" xfId="0" applyFont="1" applyBorder="1" applyProtection="1">
      <protection hidden="1"/>
    </xf>
    <xf numFmtId="0" fontId="0" fillId="0" borderId="0" xfId="0" applyFont="1" applyProtection="1">
      <protection hidden="1"/>
    </xf>
    <xf numFmtId="171" fontId="27" fillId="0" borderId="0" xfId="0" applyNumberFormat="1" applyFont="1" applyFill="1" applyBorder="1" applyAlignment="1" applyProtection="1">
      <alignment horizontal="right"/>
      <protection hidden="1"/>
    </xf>
    <xf numFmtId="0" fontId="32" fillId="0" borderId="0" xfId="0" applyFont="1" applyFill="1" applyBorder="1" applyAlignment="1" applyProtection="1">
      <alignment horizontal="right"/>
      <protection hidden="1"/>
    </xf>
    <xf numFmtId="4" fontId="32" fillId="0" borderId="0" xfId="0" applyNumberFormat="1" applyFont="1" applyFill="1" applyBorder="1" applyAlignment="1" applyProtection="1">
      <alignment horizontal="right"/>
      <protection hidden="1"/>
    </xf>
    <xf numFmtId="0" fontId="21" fillId="8" borderId="0" xfId="0" applyFont="1" applyFill="1" applyBorder="1" applyAlignment="1" applyProtection="1">
      <alignment horizontal="right"/>
      <protection hidden="1"/>
    </xf>
    <xf numFmtId="165" fontId="28" fillId="7" borderId="15" xfId="0" applyNumberFormat="1" applyFont="1" applyFill="1" applyBorder="1" applyAlignment="1" applyProtection="1">
      <alignment horizontal="right" indent="1"/>
      <protection hidden="1"/>
    </xf>
    <xf numFmtId="0" fontId="32" fillId="8" borderId="0" xfId="0" applyFont="1" applyFill="1" applyBorder="1" applyAlignment="1" applyProtection="1">
      <alignment horizontal="right"/>
      <protection hidden="1"/>
    </xf>
    <xf numFmtId="0" fontId="34" fillId="0" borderId="0" xfId="0" applyFont="1" applyFill="1" applyBorder="1" applyAlignment="1" applyProtection="1">
      <alignment horizontal="left"/>
      <protection hidden="1"/>
    </xf>
    <xf numFmtId="0" fontId="27" fillId="0" borderId="18" xfId="0" applyFont="1" applyFill="1" applyBorder="1" applyProtection="1">
      <protection hidden="1"/>
    </xf>
    <xf numFmtId="0" fontId="35" fillId="0" borderId="0" xfId="2" applyFill="1" applyBorder="1" applyAlignment="1" applyProtection="1">
      <alignment horizontal="center" wrapText="1"/>
      <protection hidden="1"/>
    </xf>
    <xf numFmtId="0" fontId="35" fillId="0" borderId="0" xfId="2" applyFill="1" applyBorder="1" applyAlignment="1" applyProtection="1">
      <protection hidden="1"/>
    </xf>
    <xf numFmtId="0" fontId="22" fillId="0" borderId="4" xfId="0" applyFont="1" applyBorder="1"/>
    <xf numFmtId="0" fontId="54" fillId="0" borderId="0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0" xfId="0" applyFont="1"/>
    <xf numFmtId="0" fontId="62" fillId="0" borderId="0" xfId="0" applyFont="1" applyBorder="1"/>
    <xf numFmtId="0" fontId="26" fillId="0" borderId="0" xfId="0" applyFont="1" applyBorder="1"/>
    <xf numFmtId="0" fontId="34" fillId="0" borderId="0" xfId="0" applyFont="1" applyBorder="1"/>
    <xf numFmtId="0" fontId="26" fillId="0" borderId="5" xfId="0" applyFont="1" applyBorder="1"/>
    <xf numFmtId="0" fontId="42" fillId="0" borderId="0" xfId="0" applyFont="1"/>
    <xf numFmtId="0" fontId="33" fillId="0" borderId="5" xfId="0" applyFont="1" applyBorder="1"/>
    <xf numFmtId="0" fontId="22" fillId="0" borderId="46" xfId="0" applyFont="1" applyBorder="1"/>
    <xf numFmtId="0" fontId="22" fillId="0" borderId="47" xfId="0" applyFont="1" applyBorder="1"/>
    <xf numFmtId="0" fontId="26" fillId="0" borderId="47" xfId="0" applyFont="1" applyBorder="1"/>
    <xf numFmtId="0" fontId="33" fillId="0" borderId="47" xfId="0" applyFont="1" applyBorder="1"/>
    <xf numFmtId="0" fontId="33" fillId="0" borderId="48" xfId="0" applyFont="1" applyBorder="1"/>
    <xf numFmtId="0" fontId="55" fillId="0" borderId="0" xfId="0" applyFont="1" applyBorder="1"/>
    <xf numFmtId="0" fontId="22" fillId="0" borderId="6" xfId="0" applyFont="1" applyBorder="1"/>
    <xf numFmtId="0" fontId="22" fillId="0" borderId="8" xfId="0" applyFont="1" applyBorder="1"/>
    <xf numFmtId="0" fontId="27" fillId="3" borderId="15" xfId="0" applyFont="1" applyFill="1" applyBorder="1" applyAlignment="1" applyProtection="1">
      <alignment horizontal="center"/>
      <protection locked="0"/>
    </xf>
    <xf numFmtId="14" fontId="21" fillId="3" borderId="15" xfId="0" applyNumberFormat="1" applyFont="1" applyFill="1" applyBorder="1" applyAlignment="1" applyProtection="1">
      <alignment horizontal="center" vertical="center"/>
      <protection locked="0"/>
    </xf>
    <xf numFmtId="14" fontId="33" fillId="3" borderId="15" xfId="0" applyNumberFormat="1" applyFont="1" applyFill="1" applyBorder="1" applyAlignment="1" applyProtection="1">
      <alignment horizontal="center" vertical="center"/>
      <protection locked="0"/>
    </xf>
    <xf numFmtId="14" fontId="21" fillId="0" borderId="0" xfId="0" applyNumberFormat="1" applyFont="1" applyBorder="1" applyAlignment="1">
      <alignment horizontal="center" vertical="top"/>
    </xf>
    <xf numFmtId="14" fontId="21" fillId="0" borderId="0" xfId="0" applyNumberFormat="1" applyFont="1" applyBorder="1" applyAlignment="1">
      <alignment horizontal="right" vertical="top"/>
    </xf>
    <xf numFmtId="172" fontId="28" fillId="3" borderId="14" xfId="0" applyNumberFormat="1" applyFont="1" applyFill="1" applyBorder="1" applyAlignment="1" applyProtection="1">
      <alignment horizontal="center" vertical="center"/>
      <protection locked="0"/>
    </xf>
    <xf numFmtId="0" fontId="34" fillId="2" borderId="0" xfId="0" applyFont="1" applyFill="1" applyBorder="1" applyAlignment="1" applyProtection="1">
      <alignment vertical="top"/>
      <protection hidden="1"/>
    </xf>
    <xf numFmtId="0" fontId="28" fillId="2" borderId="0" xfId="0" applyFont="1" applyFill="1" applyBorder="1"/>
    <xf numFmtId="0" fontId="0" fillId="2" borderId="0" xfId="0" applyFill="1" applyBorder="1"/>
    <xf numFmtId="0" fontId="27" fillId="2" borderId="0" xfId="0" applyFont="1" applyFill="1" applyBorder="1" applyAlignment="1" applyProtection="1">
      <alignment vertical="center"/>
      <protection hidden="1"/>
    </xf>
    <xf numFmtId="3" fontId="21" fillId="3" borderId="20" xfId="0" applyNumberFormat="1" applyFont="1" applyFill="1" applyBorder="1" applyAlignment="1" applyProtection="1">
      <alignment horizontal="center"/>
      <protection locked="0"/>
    </xf>
    <xf numFmtId="3" fontId="21" fillId="3" borderId="21" xfId="0" applyNumberFormat="1" applyFont="1" applyFill="1" applyBorder="1" applyAlignment="1" applyProtection="1">
      <alignment horizontal="center"/>
      <protection locked="0"/>
    </xf>
    <xf numFmtId="3" fontId="21" fillId="3" borderId="22" xfId="0" applyNumberFormat="1" applyFont="1" applyFill="1" applyBorder="1" applyAlignment="1" applyProtection="1">
      <alignment horizontal="center"/>
      <protection locked="0"/>
    </xf>
    <xf numFmtId="0" fontId="21" fillId="2" borderId="24" xfId="0" applyFont="1" applyFill="1" applyBorder="1" applyAlignment="1" applyProtection="1">
      <alignment horizontal="center" vertical="top"/>
      <protection hidden="1"/>
    </xf>
    <xf numFmtId="0" fontId="21" fillId="2" borderId="24" xfId="0" applyFont="1" applyFill="1" applyBorder="1" applyAlignment="1" applyProtection="1">
      <alignment horizontal="center" vertical="top" wrapText="1"/>
      <protection hidden="1"/>
    </xf>
    <xf numFmtId="0" fontId="21" fillId="0" borderId="0" xfId="0" applyFont="1" applyBorder="1" applyAlignment="1" applyProtection="1">
      <alignment vertical="top"/>
      <protection hidden="1"/>
    </xf>
    <xf numFmtId="0" fontId="27" fillId="2" borderId="23" xfId="0" applyFont="1" applyFill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horizontal="center"/>
      <protection hidden="1"/>
    </xf>
    <xf numFmtId="0" fontId="34" fillId="0" borderId="8" xfId="0" applyFont="1" applyFill="1" applyBorder="1" applyAlignment="1" applyProtection="1">
      <alignment horizontal="center"/>
    </xf>
    <xf numFmtId="0" fontId="33" fillId="0" borderId="5" xfId="0" applyFont="1" applyFill="1" applyBorder="1" applyAlignment="1" applyProtection="1">
      <alignment horizontal="center"/>
    </xf>
    <xf numFmtId="1" fontId="21" fillId="2" borderId="32" xfId="0" applyNumberFormat="1" applyFont="1" applyFill="1" applyBorder="1" applyAlignment="1" applyProtection="1">
      <alignment horizontal="center"/>
      <protection hidden="1"/>
    </xf>
    <xf numFmtId="1" fontId="41" fillId="2" borderId="33" xfId="0" applyNumberFormat="1" applyFont="1" applyFill="1" applyBorder="1" applyAlignment="1" applyProtection="1">
      <alignment horizontal="center"/>
      <protection hidden="1"/>
    </xf>
    <xf numFmtId="0" fontId="21" fillId="3" borderId="20" xfId="0" applyFont="1" applyFill="1" applyBorder="1" applyAlignment="1" applyProtection="1">
      <alignment horizontal="center"/>
      <protection locked="0"/>
    </xf>
    <xf numFmtId="0" fontId="21" fillId="0" borderId="49" xfId="0" applyFont="1" applyBorder="1" applyProtection="1">
      <protection hidden="1"/>
    </xf>
    <xf numFmtId="0" fontId="21" fillId="2" borderId="12" xfId="0" applyFont="1" applyFill="1" applyBorder="1" applyAlignment="1" applyProtection="1">
      <alignment horizontal="center" wrapText="1"/>
      <protection hidden="1"/>
    </xf>
    <xf numFmtId="171" fontId="48" fillId="0" borderId="0" xfId="0" applyNumberFormat="1" applyFont="1" applyAlignment="1">
      <alignment vertical="top" wrapText="1"/>
    </xf>
    <xf numFmtId="171" fontId="48" fillId="0" borderId="0" xfId="0" applyNumberFormat="1" applyFont="1" applyAlignment="1"/>
    <xf numFmtId="0" fontId="33" fillId="0" borderId="5" xfId="0" applyFont="1" applyBorder="1" applyAlignment="1">
      <alignment horizontal="left" vertical="top"/>
    </xf>
    <xf numFmtId="0" fontId="33" fillId="0" borderId="5" xfId="0" applyFont="1" applyBorder="1" applyAlignment="1">
      <alignment horizontal="left"/>
    </xf>
    <xf numFmtId="167" fontId="33" fillId="0" borderId="0" xfId="0" applyNumberFormat="1" applyFont="1" applyFill="1" applyBorder="1" applyAlignment="1" applyProtection="1">
      <alignment horizontal="right"/>
      <protection hidden="1"/>
    </xf>
    <xf numFmtId="0" fontId="27" fillId="0" borderId="0" xfId="0" applyFont="1" applyBorder="1"/>
    <xf numFmtId="3" fontId="21" fillId="7" borderId="23" xfId="0" applyNumberFormat="1" applyFont="1" applyFill="1" applyBorder="1" applyAlignment="1" applyProtection="1">
      <alignment horizontal="center"/>
      <protection hidden="1"/>
    </xf>
    <xf numFmtId="4" fontId="38" fillId="8" borderId="0" xfId="0" applyNumberFormat="1" applyFont="1" applyFill="1" applyAlignment="1" applyProtection="1">
      <alignment horizontal="center"/>
      <protection hidden="1"/>
    </xf>
    <xf numFmtId="172" fontId="27" fillId="7" borderId="14" xfId="0" applyNumberFormat="1" applyFont="1" applyFill="1" applyBorder="1" applyAlignment="1" applyProtection="1">
      <alignment horizontal="center"/>
      <protection hidden="1"/>
    </xf>
    <xf numFmtId="1" fontId="33" fillId="7" borderId="14" xfId="0" applyNumberFormat="1" applyFont="1" applyFill="1" applyBorder="1" applyAlignment="1" applyProtection="1">
      <alignment horizontal="right" indent="1"/>
      <protection hidden="1"/>
    </xf>
    <xf numFmtId="171" fontId="26" fillId="0" borderId="0" xfId="0" applyNumberFormat="1" applyFont="1" applyFill="1" applyBorder="1" applyAlignment="1" applyProtection="1">
      <alignment horizontal="left"/>
      <protection hidden="1"/>
    </xf>
    <xf numFmtId="0" fontId="0" fillId="8" borderId="0" xfId="0" applyFill="1" applyBorder="1" applyAlignment="1" applyProtection="1">
      <protection hidden="1"/>
    </xf>
    <xf numFmtId="0" fontId="0" fillId="8" borderId="0" xfId="0" applyFill="1" applyProtection="1">
      <protection hidden="1"/>
    </xf>
    <xf numFmtId="0" fontId="47" fillId="8" borderId="0" xfId="0" applyFont="1" applyFill="1" applyBorder="1" applyProtection="1">
      <protection hidden="1"/>
    </xf>
    <xf numFmtId="171" fontId="28" fillId="8" borderId="12" xfId="0" applyNumberFormat="1" applyFont="1" applyFill="1" applyBorder="1" applyAlignment="1" applyProtection="1">
      <protection hidden="1"/>
    </xf>
    <xf numFmtId="171" fontId="33" fillId="8" borderId="12" xfId="0" applyNumberFormat="1" applyFont="1" applyFill="1" applyBorder="1" applyAlignment="1" applyProtection="1">
      <protection hidden="1"/>
    </xf>
    <xf numFmtId="171" fontId="21" fillId="8" borderId="12" xfId="0" applyNumberFormat="1" applyFont="1" applyFill="1" applyBorder="1" applyAlignment="1" applyProtection="1">
      <protection hidden="1"/>
    </xf>
    <xf numFmtId="171" fontId="21" fillId="8" borderId="0" xfId="0" applyNumberFormat="1" applyFont="1" applyFill="1" applyBorder="1" applyAlignment="1" applyProtection="1">
      <protection hidden="1"/>
    </xf>
    <xf numFmtId="171" fontId="21" fillId="8" borderId="12" xfId="0" quotePrefix="1" applyNumberFormat="1" applyFont="1" applyFill="1" applyBorder="1" applyAlignment="1" applyProtection="1">
      <protection hidden="1"/>
    </xf>
    <xf numFmtId="171" fontId="0" fillId="8" borderId="0" xfId="0" applyNumberFormat="1" applyFill="1" applyBorder="1" applyAlignment="1" applyProtection="1">
      <alignment horizontal="right" indent="1"/>
      <protection hidden="1"/>
    </xf>
    <xf numFmtId="171" fontId="33" fillId="8" borderId="12" xfId="0" applyNumberFormat="1" applyFont="1" applyFill="1" applyBorder="1" applyAlignment="1" applyProtection="1">
      <alignment horizontal="right" indent="1"/>
      <protection hidden="1"/>
    </xf>
    <xf numFmtId="171" fontId="21" fillId="8" borderId="12" xfId="0" applyNumberFormat="1" applyFont="1" applyFill="1" applyBorder="1" applyProtection="1">
      <protection hidden="1"/>
    </xf>
    <xf numFmtId="0" fontId="28" fillId="8" borderId="0" xfId="0" applyFont="1" applyFill="1" applyBorder="1" applyAlignment="1" applyProtection="1">
      <alignment horizontal="right"/>
      <protection hidden="1"/>
    </xf>
    <xf numFmtId="0" fontId="21" fillId="8" borderId="0" xfId="0" applyFont="1" applyFill="1" applyProtection="1">
      <protection hidden="1"/>
    </xf>
    <xf numFmtId="171" fontId="28" fillId="8" borderId="18" xfId="0" applyNumberFormat="1" applyFont="1" applyFill="1" applyBorder="1" applyAlignment="1" applyProtection="1">
      <protection hidden="1"/>
    </xf>
    <xf numFmtId="171" fontId="21" fillId="8" borderId="18" xfId="0" applyNumberFormat="1" applyFont="1" applyFill="1" applyBorder="1" applyAlignment="1" applyProtection="1">
      <protection hidden="1"/>
    </xf>
    <xf numFmtId="171" fontId="28" fillId="8" borderId="0" xfId="0" applyNumberFormat="1" applyFont="1" applyFill="1" applyBorder="1" applyAlignment="1" applyProtection="1">
      <alignment horizontal="right" indent="1"/>
      <protection hidden="1"/>
    </xf>
    <xf numFmtId="171" fontId="33" fillId="8" borderId="18" xfId="0" applyNumberFormat="1" applyFont="1" applyFill="1" applyBorder="1" applyAlignment="1" applyProtection="1">
      <protection hidden="1"/>
    </xf>
    <xf numFmtId="171" fontId="27" fillId="8" borderId="12" xfId="0" applyNumberFormat="1" applyFont="1" applyFill="1" applyBorder="1" applyAlignment="1" applyProtection="1">
      <protection hidden="1"/>
    </xf>
    <xf numFmtId="171" fontId="21" fillId="8" borderId="0" xfId="0" applyNumberFormat="1" applyFont="1" applyFill="1" applyBorder="1" applyAlignment="1" applyProtection="1">
      <alignment horizontal="right" indent="1"/>
      <protection hidden="1"/>
    </xf>
    <xf numFmtId="0" fontId="21" fillId="8" borderId="0" xfId="0" applyFont="1" applyFill="1" applyBorder="1" applyAlignment="1" applyProtection="1">
      <protection hidden="1"/>
    </xf>
    <xf numFmtId="0" fontId="28" fillId="8" borderId="0" xfId="0" applyFont="1" applyFill="1" applyBorder="1" applyAlignment="1" applyProtection="1">
      <alignment horizontal="right" indent="1"/>
      <protection hidden="1"/>
    </xf>
    <xf numFmtId="171" fontId="21" fillId="8" borderId="1" xfId="0" quotePrefix="1" applyNumberFormat="1" applyFont="1" applyFill="1" applyBorder="1" applyAlignment="1" applyProtection="1">
      <protection hidden="1"/>
    </xf>
    <xf numFmtId="171" fontId="21" fillId="8" borderId="6" xfId="0" quotePrefix="1" applyNumberFormat="1" applyFont="1" applyFill="1" applyBorder="1" applyAlignment="1" applyProtection="1">
      <protection hidden="1"/>
    </xf>
    <xf numFmtId="171" fontId="21" fillId="8" borderId="0" xfId="0" applyNumberFormat="1" applyFont="1" applyFill="1" applyBorder="1" applyProtection="1">
      <protection hidden="1"/>
    </xf>
    <xf numFmtId="171" fontId="32" fillId="8" borderId="0" xfId="0" applyNumberFormat="1" applyFont="1" applyFill="1" applyBorder="1" applyAlignment="1" applyProtection="1">
      <alignment horizontal="left"/>
      <protection hidden="1"/>
    </xf>
    <xf numFmtId="171" fontId="0" fillId="8" borderId="0" xfId="0" applyNumberFormat="1" applyFill="1" applyBorder="1" applyAlignment="1" applyProtection="1">
      <protection hidden="1"/>
    </xf>
    <xf numFmtId="171" fontId="0" fillId="8" borderId="0" xfId="0" applyNumberFormat="1" applyFill="1" applyProtection="1">
      <protection hidden="1"/>
    </xf>
    <xf numFmtId="171" fontId="0" fillId="8" borderId="2" xfId="0" applyNumberFormat="1" applyFill="1" applyBorder="1" applyAlignment="1" applyProtection="1">
      <protection hidden="1"/>
    </xf>
    <xf numFmtId="171" fontId="0" fillId="8" borderId="4" xfId="0" applyNumberFormat="1" applyFill="1" applyBorder="1" applyAlignment="1" applyProtection="1">
      <protection hidden="1"/>
    </xf>
    <xf numFmtId="171" fontId="34" fillId="8" borderId="4" xfId="0" applyNumberFormat="1" applyFont="1" applyFill="1" applyBorder="1" applyAlignment="1" applyProtection="1">
      <alignment vertical="top" wrapText="1"/>
    </xf>
    <xf numFmtId="171" fontId="48" fillId="8" borderId="4" xfId="0" applyNumberFormat="1" applyFont="1" applyFill="1" applyBorder="1" applyAlignment="1">
      <alignment vertical="top" wrapText="1"/>
    </xf>
    <xf numFmtId="171" fontId="48" fillId="8" borderId="4" xfId="0" applyNumberFormat="1" applyFont="1" applyFill="1" applyBorder="1" applyAlignment="1"/>
    <xf numFmtId="171" fontId="21" fillId="8" borderId="0" xfId="0" applyNumberFormat="1" applyFont="1" applyFill="1" applyBorder="1" applyAlignment="1" applyProtection="1">
      <alignment horizontal="right"/>
      <protection hidden="1"/>
    </xf>
    <xf numFmtId="0" fontId="27" fillId="8" borderId="0" xfId="0" applyFont="1" applyFill="1" applyBorder="1" applyAlignment="1" applyProtection="1">
      <alignment horizontal="right"/>
      <protection hidden="1"/>
    </xf>
    <xf numFmtId="0" fontId="21" fillId="2" borderId="13" xfId="0" applyFont="1" applyFill="1" applyBorder="1" applyAlignment="1" applyProtection="1">
      <alignment horizontal="center" wrapText="1"/>
      <protection hidden="1"/>
    </xf>
    <xf numFmtId="0" fontId="32" fillId="8" borderId="0" xfId="0" applyFont="1" applyFill="1" applyBorder="1" applyProtection="1">
      <protection hidden="1"/>
    </xf>
    <xf numFmtId="171" fontId="48" fillId="8" borderId="0" xfId="0" applyNumberFormat="1" applyFont="1" applyFill="1" applyAlignment="1">
      <alignment vertical="top" wrapText="1"/>
    </xf>
    <xf numFmtId="171" fontId="48" fillId="8" borderId="0" xfId="0" applyNumberFormat="1" applyFont="1" applyFill="1" applyAlignment="1"/>
    <xf numFmtId="171" fontId="0" fillId="8" borderId="0" xfId="0" applyNumberFormat="1" applyFont="1" applyFill="1" applyProtection="1">
      <protection hidden="1"/>
    </xf>
    <xf numFmtId="171" fontId="27" fillId="8" borderId="0" xfId="0" applyNumberFormat="1" applyFont="1" applyFill="1" applyBorder="1" applyAlignment="1" applyProtection="1">
      <alignment horizontal="right"/>
      <protection hidden="1"/>
    </xf>
    <xf numFmtId="16" fontId="21" fillId="0" borderId="18" xfId="0" quotePrefix="1" applyNumberFormat="1" applyFont="1" applyFill="1" applyBorder="1" applyAlignment="1" applyProtection="1">
      <alignment horizontal="left"/>
      <protection hidden="1"/>
    </xf>
    <xf numFmtId="49" fontId="21" fillId="0" borderId="18" xfId="0" applyNumberFormat="1" applyFont="1" applyFill="1" applyBorder="1" applyProtection="1">
      <protection hidden="1"/>
    </xf>
    <xf numFmtId="171" fontId="27" fillId="8" borderId="0" xfId="0" applyNumberFormat="1" applyFont="1" applyFill="1" applyBorder="1" applyAlignment="1" applyProtection="1">
      <protection hidden="1"/>
    </xf>
    <xf numFmtId="0" fontId="21" fillId="2" borderId="14" xfId="0" applyFont="1" applyFill="1" applyBorder="1" applyAlignment="1" applyProtection="1">
      <alignment horizontal="center" wrapText="1"/>
      <protection hidden="1"/>
    </xf>
    <xf numFmtId="171" fontId="21" fillId="8" borderId="7" xfId="0" applyNumberFormat="1" applyFont="1" applyFill="1" applyBorder="1" applyAlignment="1" applyProtection="1">
      <protection hidden="1"/>
    </xf>
    <xf numFmtId="171" fontId="21" fillId="8" borderId="6" xfId="0" applyNumberFormat="1" applyFont="1" applyFill="1" applyBorder="1" applyAlignment="1" applyProtection="1">
      <protection hidden="1"/>
    </xf>
    <xf numFmtId="171" fontId="21" fillId="7" borderId="3" xfId="0" applyNumberFormat="1" applyFont="1" applyFill="1" applyBorder="1" applyAlignment="1" applyProtection="1">
      <protection hidden="1"/>
    </xf>
    <xf numFmtId="171" fontId="21" fillId="8" borderId="2" xfId="0" applyNumberFormat="1" applyFont="1" applyFill="1" applyBorder="1" applyAlignment="1" applyProtection="1">
      <protection hidden="1"/>
    </xf>
    <xf numFmtId="171" fontId="21" fillId="8" borderId="1" xfId="0" applyNumberFormat="1" applyFont="1" applyFill="1" applyBorder="1" applyAlignment="1" applyProtection="1">
      <protection hidden="1"/>
    </xf>
    <xf numFmtId="171" fontId="21" fillId="8" borderId="4" xfId="0" quotePrefix="1" applyNumberFormat="1" applyFont="1" applyFill="1" applyBorder="1" applyAlignment="1" applyProtection="1">
      <protection hidden="1"/>
    </xf>
    <xf numFmtId="171" fontId="21" fillId="0" borderId="18" xfId="0" quotePrefix="1" applyNumberFormat="1" applyFont="1" applyFill="1" applyBorder="1" applyAlignment="1" applyProtection="1">
      <protection hidden="1"/>
    </xf>
    <xf numFmtId="171" fontId="27" fillId="7" borderId="14" xfId="0" applyNumberFormat="1" applyFont="1" applyFill="1" applyBorder="1" applyAlignment="1" applyProtection="1">
      <protection hidden="1"/>
    </xf>
    <xf numFmtId="0" fontId="48" fillId="0" borderId="0" xfId="0" applyFont="1" applyBorder="1" applyAlignment="1" applyProtection="1">
      <alignment horizontal="right"/>
      <protection hidden="1"/>
    </xf>
    <xf numFmtId="0" fontId="27" fillId="0" borderId="1" xfId="0" applyFont="1" applyFill="1" applyBorder="1"/>
    <xf numFmtId="0" fontId="21" fillId="0" borderId="6" xfId="0" applyFont="1" applyBorder="1" applyProtection="1">
      <protection hidden="1"/>
    </xf>
    <xf numFmtId="2" fontId="21" fillId="3" borderId="8" xfId="0" applyNumberFormat="1" applyFont="1" applyFill="1" applyBorder="1" applyAlignment="1" applyProtection="1">
      <alignment horizontal="center"/>
      <protection locked="0"/>
    </xf>
    <xf numFmtId="2" fontId="21" fillId="3" borderId="13" xfId="0" applyNumberFormat="1" applyFont="1" applyFill="1" applyBorder="1" applyAlignment="1" applyProtection="1">
      <alignment horizontal="center"/>
      <protection locked="0"/>
    </xf>
    <xf numFmtId="2" fontId="21" fillId="0" borderId="17" xfId="0" applyNumberFormat="1" applyFont="1" applyFill="1" applyBorder="1" applyAlignment="1" applyProtection="1">
      <alignment horizontal="right"/>
      <protection hidden="1"/>
    </xf>
    <xf numFmtId="2" fontId="21" fillId="3" borderId="7" xfId="0" applyNumberFormat="1" applyFont="1" applyFill="1" applyBorder="1" applyAlignment="1" applyProtection="1">
      <alignment horizontal="center"/>
      <protection locked="0"/>
    </xf>
    <xf numFmtId="14" fontId="21" fillId="3" borderId="14" xfId="0" applyNumberFormat="1" applyFont="1" applyFill="1" applyBorder="1" applyAlignment="1" applyProtection="1">
      <alignment horizontal="center" vertical="center"/>
      <protection locked="0"/>
    </xf>
    <xf numFmtId="14" fontId="27" fillId="3" borderId="14" xfId="0" applyNumberFormat="1" applyFont="1" applyFill="1" applyBorder="1" applyAlignment="1" applyProtection="1">
      <alignment horizontal="center" vertical="center"/>
      <protection locked="0"/>
    </xf>
    <xf numFmtId="14" fontId="27" fillId="7" borderId="14" xfId="0" applyNumberFormat="1" applyFont="1" applyFill="1" applyBorder="1" applyAlignment="1" applyProtection="1">
      <alignment horizontal="center" vertical="center"/>
      <protection hidden="1"/>
    </xf>
    <xf numFmtId="0" fontId="27" fillId="0" borderId="4" xfId="0" applyFont="1" applyBorder="1" applyAlignment="1" applyProtection="1">
      <alignment vertical="center"/>
      <protection hidden="1"/>
    </xf>
    <xf numFmtId="0" fontId="21" fillId="0" borderId="0" xfId="0" applyFont="1" applyBorder="1" applyAlignment="1" applyProtection="1">
      <alignment horizontal="center" vertical="center"/>
      <protection hidden="1"/>
    </xf>
    <xf numFmtId="3" fontId="27" fillId="7" borderId="15" xfId="0" applyNumberFormat="1" applyFont="1" applyFill="1" applyBorder="1" applyAlignment="1" applyProtection="1">
      <alignment horizontal="center" vertical="center"/>
      <protection hidden="1"/>
    </xf>
    <xf numFmtId="14" fontId="48" fillId="0" borderId="0" xfId="0" applyNumberFormat="1" applyFont="1" applyBorder="1" applyProtection="1">
      <protection hidden="1"/>
    </xf>
    <xf numFmtId="0" fontId="61" fillId="0" borderId="5" xfId="0" applyNumberFormat="1" applyFont="1" applyBorder="1" applyAlignment="1">
      <alignment vertical="top" wrapText="1"/>
    </xf>
    <xf numFmtId="0" fontId="0" fillId="0" borderId="2" xfId="0" applyBorder="1" applyProtection="1">
      <protection hidden="1"/>
    </xf>
    <xf numFmtId="0" fontId="61" fillId="0" borderId="0" xfId="0" applyNumberFormat="1" applyFont="1" applyBorder="1" applyAlignment="1">
      <alignment vertical="top" wrapText="1"/>
    </xf>
    <xf numFmtId="0" fontId="27" fillId="0" borderId="2" xfId="0" applyFont="1" applyFill="1" applyBorder="1"/>
    <xf numFmtId="2" fontId="21" fillId="0" borderId="0" xfId="0" applyNumberFormat="1" applyFont="1" applyBorder="1" applyProtection="1">
      <protection hidden="1"/>
    </xf>
    <xf numFmtId="0" fontId="61" fillId="0" borderId="7" xfId="0" applyNumberFormat="1" applyFont="1" applyBorder="1" applyAlignment="1">
      <alignment vertical="top" wrapText="1"/>
    </xf>
    <xf numFmtId="0" fontId="28" fillId="0" borderId="19" xfId="0" applyFont="1" applyFill="1" applyBorder="1" applyAlignment="1" applyProtection="1">
      <alignment horizontal="center"/>
    </xf>
    <xf numFmtId="7" fontId="33" fillId="3" borderId="14" xfId="3" applyNumberFormat="1" applyFont="1" applyFill="1" applyBorder="1" applyAlignment="1" applyProtection="1">
      <alignment horizontal="right"/>
      <protection locked="0"/>
    </xf>
    <xf numFmtId="0" fontId="28" fillId="0" borderId="40" xfId="0" applyFont="1" applyFill="1" applyBorder="1" applyProtection="1"/>
    <xf numFmtId="0" fontId="33" fillId="0" borderId="40" xfId="0" applyFont="1" applyFill="1" applyBorder="1" applyProtection="1"/>
    <xf numFmtId="0" fontId="33" fillId="0" borderId="0" xfId="0" applyFont="1" applyFill="1" applyBorder="1" applyAlignment="1" applyProtection="1">
      <alignment horizontal="right"/>
    </xf>
    <xf numFmtId="0" fontId="34" fillId="0" borderId="0" xfId="0" applyFont="1" applyFill="1" applyBorder="1" applyAlignment="1" applyProtection="1">
      <alignment horizontal="right"/>
    </xf>
    <xf numFmtId="0" fontId="33" fillId="0" borderId="51" xfId="0" applyFont="1" applyFill="1" applyBorder="1" applyProtection="1"/>
    <xf numFmtId="0" fontId="34" fillId="0" borderId="50" xfId="0" applyFont="1" applyFill="1" applyBorder="1" applyAlignment="1" applyProtection="1">
      <alignment horizontal="right"/>
    </xf>
    <xf numFmtId="168" fontId="33" fillId="3" borderId="14" xfId="0" applyNumberFormat="1" applyFont="1" applyFill="1" applyBorder="1" applyAlignment="1" applyProtection="1">
      <alignment vertical="center"/>
      <protection locked="0"/>
    </xf>
    <xf numFmtId="167" fontId="33" fillId="0" borderId="0" xfId="0" applyNumberFormat="1" applyFont="1" applyFill="1" applyBorder="1" applyAlignment="1" applyProtection="1">
      <alignment vertical="center"/>
    </xf>
    <xf numFmtId="0" fontId="21" fillId="0" borderId="0" xfId="0" applyFont="1" applyBorder="1" applyAlignment="1">
      <alignment vertical="center"/>
    </xf>
    <xf numFmtId="0" fontId="33" fillId="0" borderId="0" xfId="0" applyFont="1" applyFill="1" applyBorder="1" applyAlignment="1" applyProtection="1">
      <alignment vertical="center"/>
    </xf>
    <xf numFmtId="168" fontId="28" fillId="7" borderId="9" xfId="0" applyNumberFormat="1" applyFont="1" applyFill="1" applyBorder="1" applyAlignment="1" applyProtection="1">
      <alignment vertical="center"/>
      <protection hidden="1"/>
    </xf>
    <xf numFmtId="2" fontId="33" fillId="0" borderId="0" xfId="0" applyNumberFormat="1" applyFont="1" applyFill="1" applyBorder="1" applyAlignment="1" applyProtection="1">
      <alignment vertical="center"/>
      <protection hidden="1"/>
    </xf>
    <xf numFmtId="10" fontId="33" fillId="7" borderId="14" xfId="0" applyNumberFormat="1" applyFont="1" applyFill="1" applyBorder="1" applyAlignment="1" applyProtection="1">
      <alignment vertical="center"/>
      <protection hidden="1"/>
    </xf>
    <xf numFmtId="2" fontId="33" fillId="0" borderId="0" xfId="0" applyNumberFormat="1" applyFont="1" applyFill="1" applyBorder="1" applyAlignment="1" applyProtection="1">
      <alignment vertical="center"/>
    </xf>
    <xf numFmtId="0" fontId="33" fillId="0" borderId="40" xfId="0" applyFont="1" applyFill="1" applyBorder="1" applyAlignment="1" applyProtection="1">
      <alignment vertical="center"/>
    </xf>
    <xf numFmtId="167" fontId="33" fillId="0" borderId="0" xfId="0" applyNumberFormat="1" applyFont="1" applyFill="1" applyBorder="1" applyAlignment="1" applyProtection="1"/>
    <xf numFmtId="0" fontId="33" fillId="0" borderId="0" xfId="0" applyFont="1" applyFill="1" applyBorder="1" applyAlignment="1" applyProtection="1"/>
    <xf numFmtId="1" fontId="28" fillId="0" borderId="0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0" fontId="33" fillId="10" borderId="3" xfId="0" applyFont="1" applyFill="1" applyBorder="1" applyAlignment="1" applyProtection="1">
      <alignment horizontal="center" wrapText="1"/>
    </xf>
    <xf numFmtId="0" fontId="34" fillId="10" borderId="24" xfId="0" applyFont="1" applyFill="1" applyBorder="1" applyAlignment="1" applyProtection="1">
      <alignment horizontal="center"/>
    </xf>
    <xf numFmtId="0" fontId="29" fillId="0" borderId="0" xfId="0" applyFont="1" applyBorder="1" applyAlignment="1" applyProtection="1">
      <alignment vertical="top"/>
      <protection hidden="1"/>
    </xf>
    <xf numFmtId="10" fontId="33" fillId="7" borderId="15" xfId="0" applyNumberFormat="1" applyFont="1" applyFill="1" applyBorder="1" applyAlignment="1" applyProtection="1">
      <alignment horizontal="right" vertical="center"/>
      <protection hidden="1"/>
    </xf>
    <xf numFmtId="165" fontId="33" fillId="7" borderId="11" xfId="0" applyNumberFormat="1" applyFont="1" applyFill="1" applyBorder="1" applyAlignment="1" applyProtection="1">
      <alignment horizontal="right" vertical="center"/>
      <protection hidden="1"/>
    </xf>
    <xf numFmtId="165" fontId="33" fillId="7" borderId="15" xfId="0" applyNumberFormat="1" applyFont="1" applyFill="1" applyBorder="1" applyAlignment="1" applyProtection="1">
      <alignment horizontal="right" vertical="center"/>
      <protection hidden="1"/>
    </xf>
    <xf numFmtId="1" fontId="41" fillId="3" borderId="33" xfId="0" applyNumberFormat="1" applyFont="1" applyFill="1" applyBorder="1" applyAlignment="1" applyProtection="1">
      <alignment horizontal="center"/>
      <protection locked="0"/>
    </xf>
    <xf numFmtId="1" fontId="41" fillId="3" borderId="5" xfId="0" applyNumberFormat="1" applyFont="1" applyFill="1" applyBorder="1" applyAlignment="1" applyProtection="1">
      <alignment horizontal="center"/>
      <protection locked="0"/>
    </xf>
    <xf numFmtId="0" fontId="33" fillId="0" borderId="0" xfId="0" applyFont="1" applyBorder="1" applyAlignment="1" applyProtection="1">
      <alignment horizontal="center"/>
      <protection hidden="1"/>
    </xf>
    <xf numFmtId="176" fontId="0" fillId="8" borderId="0" xfId="0" applyNumberFormat="1" applyFill="1" applyBorder="1" applyProtection="1">
      <protection hidden="1"/>
    </xf>
    <xf numFmtId="0" fontId="66" fillId="0" borderId="0" xfId="0" applyFont="1" applyBorder="1" applyProtection="1">
      <protection hidden="1"/>
    </xf>
    <xf numFmtId="0" fontId="33" fillId="0" borderId="0" xfId="0" applyFont="1" applyBorder="1" applyAlignment="1">
      <alignment horizontal="left" vertical="top"/>
    </xf>
    <xf numFmtId="0" fontId="33" fillId="0" borderId="0" xfId="0" applyFont="1" applyBorder="1" applyAlignment="1">
      <alignment horizontal="left"/>
    </xf>
    <xf numFmtId="0" fontId="22" fillId="6" borderId="0" xfId="0" applyFont="1" applyFill="1" applyBorder="1" applyAlignment="1">
      <alignment horizontal="center"/>
    </xf>
    <xf numFmtId="0" fontId="21" fillId="2" borderId="19" xfId="0" applyFont="1" applyFill="1" applyBorder="1" applyAlignment="1" applyProtection="1">
      <alignment horizontal="center" vertical="top"/>
      <protection hidden="1"/>
    </xf>
    <xf numFmtId="0" fontId="21" fillId="2" borderId="19" xfId="0" applyFont="1" applyFill="1" applyBorder="1" applyAlignment="1" applyProtection="1">
      <alignment horizontal="center" vertical="top" wrapText="1"/>
      <protection hidden="1"/>
    </xf>
    <xf numFmtId="14" fontId="21" fillId="2" borderId="24" xfId="0" applyNumberFormat="1" applyFont="1" applyFill="1" applyBorder="1" applyAlignment="1" applyProtection="1">
      <alignment horizontal="center" vertical="top"/>
      <protection hidden="1"/>
    </xf>
    <xf numFmtId="0" fontId="54" fillId="0" borderId="4" xfId="0" applyFont="1" applyBorder="1"/>
    <xf numFmtId="0" fontId="54" fillId="9" borderId="15" xfId="0" applyFont="1" applyFill="1" applyBorder="1" applyAlignment="1" applyProtection="1">
      <alignment horizontal="center" vertical="center"/>
      <protection locked="0"/>
    </xf>
    <xf numFmtId="0" fontId="68" fillId="0" borderId="0" xfId="0" applyFont="1" applyBorder="1"/>
    <xf numFmtId="0" fontId="54" fillId="0" borderId="5" xfId="0" applyFont="1" applyBorder="1"/>
    <xf numFmtId="0" fontId="68" fillId="0" borderId="4" xfId="0" applyFont="1" applyBorder="1"/>
    <xf numFmtId="0" fontId="69" fillId="0" borderId="0" xfId="0" applyFont="1" applyBorder="1"/>
    <xf numFmtId="0" fontId="68" fillId="0" borderId="5" xfId="0" applyFont="1" applyBorder="1"/>
    <xf numFmtId="0" fontId="25" fillId="9" borderId="15" xfId="0" applyFont="1" applyFill="1" applyBorder="1" applyAlignment="1" applyProtection="1">
      <alignment horizontal="center" vertical="center"/>
      <protection locked="0"/>
    </xf>
    <xf numFmtId="0" fontId="69" fillId="0" borderId="5" xfId="0" applyFont="1" applyBorder="1"/>
    <xf numFmtId="0" fontId="28" fillId="9" borderId="15" xfId="0" applyFont="1" applyFill="1" applyBorder="1" applyAlignment="1" applyProtection="1">
      <alignment horizontal="center" vertical="center"/>
      <protection locked="0"/>
    </xf>
    <xf numFmtId="0" fontId="33" fillId="0" borderId="0" xfId="0" applyFont="1" applyBorder="1" applyAlignment="1">
      <alignment vertical="top"/>
    </xf>
    <xf numFmtId="0" fontId="33" fillId="0" borderId="0" xfId="0" applyFont="1" applyBorder="1" applyAlignment="1"/>
    <xf numFmtId="0" fontId="0" fillId="0" borderId="0" xfId="0" applyFont="1" applyBorder="1"/>
    <xf numFmtId="0" fontId="22" fillId="0" borderId="0" xfId="0" applyFont="1" applyFill="1" applyBorder="1" applyAlignment="1" applyProtection="1">
      <protection locked="0"/>
    </xf>
    <xf numFmtId="0" fontId="0" fillId="0" borderId="7" xfId="0" applyFont="1" applyBorder="1"/>
    <xf numFmtId="0" fontId="26" fillId="0" borderId="7" xfId="0" applyFont="1" applyBorder="1" applyAlignment="1"/>
    <xf numFmtId="0" fontId="68" fillId="0" borderId="0" xfId="0" applyFont="1"/>
    <xf numFmtId="0" fontId="71" fillId="0" borderId="0" xfId="0" applyFont="1"/>
    <xf numFmtId="0" fontId="71" fillId="0" borderId="0" xfId="0" applyFont="1" applyAlignment="1">
      <alignment vertical="center"/>
    </xf>
    <xf numFmtId="0" fontId="71" fillId="0" borderId="0" xfId="0" applyFont="1" applyAlignment="1"/>
    <xf numFmtId="0" fontId="22" fillId="6" borderId="4" xfId="0" applyFont="1" applyFill="1" applyBorder="1"/>
    <xf numFmtId="0" fontId="22" fillId="6" borderId="0" xfId="0" applyFont="1" applyFill="1" applyBorder="1"/>
    <xf numFmtId="0" fontId="22" fillId="6" borderId="5" xfId="0" applyFont="1" applyFill="1" applyBorder="1"/>
    <xf numFmtId="0" fontId="33" fillId="6" borderId="4" xfId="0" applyFont="1" applyFill="1" applyBorder="1"/>
    <xf numFmtId="0" fontId="28" fillId="6" borderId="4" xfId="0" applyFont="1" applyFill="1" applyBorder="1"/>
    <xf numFmtId="0" fontId="73" fillId="6" borderId="0" xfId="0" applyFont="1" applyFill="1" applyBorder="1"/>
    <xf numFmtId="0" fontId="28" fillId="6" borderId="1" xfId="0" applyFont="1" applyFill="1" applyBorder="1"/>
    <xf numFmtId="0" fontId="22" fillId="6" borderId="2" xfId="0" applyFont="1" applyFill="1" applyBorder="1"/>
    <xf numFmtId="0" fontId="22" fillId="6" borderId="3" xfId="0" applyFont="1" applyFill="1" applyBorder="1"/>
    <xf numFmtId="0" fontId="22" fillId="6" borderId="6" xfId="0" applyFont="1" applyFill="1" applyBorder="1"/>
    <xf numFmtId="0" fontId="22" fillId="6" borderId="7" xfId="0" applyFont="1" applyFill="1" applyBorder="1"/>
    <xf numFmtId="0" fontId="22" fillId="6" borderId="8" xfId="0" applyFont="1" applyFill="1" applyBorder="1"/>
    <xf numFmtId="0" fontId="33" fillId="6" borderId="0" xfId="0" applyFont="1" applyFill="1" applyBorder="1"/>
    <xf numFmtId="0" fontId="33" fillId="6" borderId="5" xfId="0" applyFont="1" applyFill="1" applyBorder="1"/>
    <xf numFmtId="0" fontId="22" fillId="6" borderId="0" xfId="0" applyFont="1" applyFill="1"/>
    <xf numFmtId="0" fontId="25" fillId="6" borderId="4" xfId="0" applyFont="1" applyFill="1" applyBorder="1"/>
    <xf numFmtId="0" fontId="74" fillId="6" borderId="5" xfId="0" applyFont="1" applyFill="1" applyBorder="1" applyAlignment="1"/>
    <xf numFmtId="0" fontId="28" fillId="3" borderId="14" xfId="0" applyFont="1" applyFill="1" applyBorder="1" applyAlignment="1" applyProtection="1">
      <alignment horizontal="center"/>
      <protection locked="0"/>
    </xf>
    <xf numFmtId="0" fontId="22" fillId="6" borderId="0" xfId="0" applyFont="1" applyFill="1" applyBorder="1" applyProtection="1">
      <protection hidden="1"/>
    </xf>
    <xf numFmtId="0" fontId="33" fillId="6" borderId="0" xfId="0" applyFont="1" applyFill="1" applyBorder="1" applyProtection="1">
      <protection hidden="1"/>
    </xf>
    <xf numFmtId="0" fontId="28" fillId="6" borderId="0" xfId="0" applyFont="1" applyFill="1" applyBorder="1" applyAlignment="1" applyProtection="1">
      <alignment horizontal="center"/>
      <protection hidden="1"/>
    </xf>
    <xf numFmtId="0" fontId="22" fillId="0" borderId="0" xfId="0" applyFont="1" applyBorder="1" applyProtection="1">
      <protection hidden="1"/>
    </xf>
    <xf numFmtId="0" fontId="22" fillId="3" borderId="14" xfId="0" applyFont="1" applyFill="1" applyBorder="1" applyProtection="1">
      <protection locked="0"/>
    </xf>
    <xf numFmtId="0" fontId="0" fillId="6" borderId="4" xfId="0" applyFont="1" applyFill="1" applyBorder="1"/>
    <xf numFmtId="0" fontId="0" fillId="6" borderId="6" xfId="0" applyFont="1" applyFill="1" applyBorder="1"/>
    <xf numFmtId="167" fontId="33" fillId="10" borderId="0" xfId="0" applyNumberFormat="1" applyFont="1" applyFill="1" applyBorder="1" applyAlignment="1" applyProtection="1">
      <protection hidden="1"/>
    </xf>
    <xf numFmtId="0" fontId="39" fillId="0" borderId="0" xfId="0" applyFont="1" applyBorder="1" applyAlignment="1" applyProtection="1">
      <alignment horizontal="left"/>
      <protection hidden="1"/>
    </xf>
    <xf numFmtId="0" fontId="32" fillId="0" borderId="0" xfId="0" applyFont="1" applyBorder="1" applyAlignment="1" applyProtection="1">
      <alignment horizontal="center"/>
      <protection hidden="1"/>
    </xf>
    <xf numFmtId="0" fontId="24" fillId="8" borderId="0" xfId="0" applyFont="1" applyFill="1" applyBorder="1" applyProtection="1">
      <protection hidden="1"/>
    </xf>
    <xf numFmtId="0" fontId="21" fillId="8" borderId="0" xfId="0" applyFont="1" applyFill="1" applyBorder="1" applyAlignment="1" applyProtection="1">
      <alignment horizontal="center"/>
      <protection hidden="1"/>
    </xf>
    <xf numFmtId="0" fontId="46" fillId="8" borderId="0" xfId="0" applyFont="1" applyFill="1" applyBorder="1" applyProtection="1">
      <protection hidden="1"/>
    </xf>
    <xf numFmtId="0" fontId="46" fillId="8" borderId="0" xfId="0" applyFont="1" applyFill="1" applyBorder="1" applyAlignment="1" applyProtection="1">
      <alignment horizontal="center"/>
      <protection hidden="1"/>
    </xf>
    <xf numFmtId="2" fontId="46" fillId="8" borderId="0" xfId="0" applyNumberFormat="1" applyFont="1" applyFill="1" applyBorder="1" applyAlignment="1" applyProtection="1">
      <alignment horizontal="center"/>
      <protection hidden="1"/>
    </xf>
    <xf numFmtId="0" fontId="78" fillId="8" borderId="4" xfId="0" applyFont="1" applyFill="1" applyBorder="1"/>
    <xf numFmtId="171" fontId="21" fillId="7" borderId="13" xfId="0" applyNumberFormat="1" applyFont="1" applyFill="1" applyBorder="1" applyProtection="1">
      <protection hidden="1"/>
    </xf>
    <xf numFmtId="0" fontId="21" fillId="6" borderId="0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21" fillId="11" borderId="61" xfId="0" applyFont="1" applyFill="1" applyBorder="1" applyAlignment="1" applyProtection="1">
      <alignment horizontal="center"/>
      <protection hidden="1"/>
    </xf>
    <xf numFmtId="0" fontId="21" fillId="11" borderId="75" xfId="0" applyFont="1" applyFill="1" applyBorder="1" applyProtection="1">
      <protection hidden="1"/>
    </xf>
    <xf numFmtId="0" fontId="21" fillId="11" borderId="82" xfId="0" applyFont="1" applyFill="1" applyBorder="1" applyProtection="1">
      <protection hidden="1"/>
    </xf>
    <xf numFmtId="0" fontId="21" fillId="11" borderId="83" xfId="0" applyFont="1" applyFill="1" applyBorder="1" applyProtection="1">
      <protection hidden="1"/>
    </xf>
    <xf numFmtId="0" fontId="21" fillId="11" borderId="0" xfId="0" applyFont="1" applyFill="1" applyBorder="1" applyProtection="1">
      <protection hidden="1"/>
    </xf>
    <xf numFmtId="0" fontId="21" fillId="11" borderId="52" xfId="0" applyFont="1" applyFill="1" applyBorder="1" applyProtection="1">
      <protection hidden="1"/>
    </xf>
    <xf numFmtId="2" fontId="32" fillId="11" borderId="0" xfId="0" applyNumberFormat="1" applyFont="1" applyFill="1" applyBorder="1" applyProtection="1">
      <protection hidden="1"/>
    </xf>
    <xf numFmtId="175" fontId="32" fillId="11" borderId="0" xfId="0" applyNumberFormat="1" applyFont="1" applyFill="1" applyBorder="1" applyProtection="1">
      <protection hidden="1"/>
    </xf>
    <xf numFmtId="0" fontId="21" fillId="11" borderId="0" xfId="0" applyFont="1" applyFill="1" applyBorder="1" applyAlignment="1" applyProtection="1">
      <alignment horizontal="center"/>
      <protection hidden="1"/>
    </xf>
    <xf numFmtId="175" fontId="21" fillId="11" borderId="0" xfId="0" applyNumberFormat="1" applyFont="1" applyFill="1" applyBorder="1" applyProtection="1">
      <protection hidden="1"/>
    </xf>
    <xf numFmtId="10" fontId="32" fillId="11" borderId="0" xfId="4" applyNumberFormat="1" applyFont="1" applyFill="1" applyBorder="1" applyProtection="1">
      <protection hidden="1"/>
    </xf>
    <xf numFmtId="1" fontId="46" fillId="11" borderId="0" xfId="0" applyNumberFormat="1" applyFont="1" applyFill="1" applyBorder="1" applyAlignment="1" applyProtection="1">
      <alignment horizontal="center"/>
      <protection hidden="1"/>
    </xf>
    <xf numFmtId="0" fontId="45" fillId="11" borderId="75" xfId="0" applyFont="1" applyFill="1" applyBorder="1" applyProtection="1">
      <protection hidden="1"/>
    </xf>
    <xf numFmtId="0" fontId="27" fillId="11" borderId="75" xfId="0" applyFont="1" applyFill="1" applyBorder="1" applyProtection="1">
      <protection hidden="1"/>
    </xf>
    <xf numFmtId="0" fontId="21" fillId="11" borderId="77" xfId="0" applyFont="1" applyFill="1" applyBorder="1" applyProtection="1">
      <protection hidden="1"/>
    </xf>
    <xf numFmtId="0" fontId="21" fillId="11" borderId="24" xfId="0" applyFont="1" applyFill="1" applyBorder="1" applyAlignment="1" applyProtection="1">
      <alignment horizontal="center"/>
      <protection hidden="1"/>
    </xf>
    <xf numFmtId="0" fontId="21" fillId="11" borderId="7" xfId="0" applyFont="1" applyFill="1" applyBorder="1" applyAlignment="1" applyProtection="1">
      <alignment horizontal="center"/>
      <protection hidden="1"/>
    </xf>
    <xf numFmtId="0" fontId="21" fillId="11" borderId="78" xfId="0" applyFont="1" applyFill="1" applyBorder="1" applyProtection="1">
      <protection hidden="1"/>
    </xf>
    <xf numFmtId="0" fontId="21" fillId="11" borderId="80" xfId="0" applyFont="1" applyFill="1" applyBorder="1" applyProtection="1">
      <protection hidden="1"/>
    </xf>
    <xf numFmtId="0" fontId="21" fillId="11" borderId="81" xfId="0" applyFont="1" applyFill="1" applyBorder="1" applyProtection="1">
      <protection hidden="1"/>
    </xf>
    <xf numFmtId="0" fontId="21" fillId="11" borderId="6" xfId="0" applyFont="1" applyFill="1" applyBorder="1" applyAlignment="1" applyProtection="1">
      <alignment horizontal="center"/>
      <protection hidden="1"/>
    </xf>
    <xf numFmtId="0" fontId="21" fillId="11" borderId="4" xfId="0" applyFont="1" applyFill="1" applyBorder="1" applyAlignment="1" applyProtection="1">
      <alignment horizontal="center"/>
      <protection hidden="1"/>
    </xf>
    <xf numFmtId="0" fontId="21" fillId="11" borderId="76" xfId="0" applyFont="1" applyFill="1" applyBorder="1" applyProtection="1">
      <protection hidden="1"/>
    </xf>
    <xf numFmtId="0" fontId="79" fillId="0" borderId="0" xfId="0" applyFont="1" applyFill="1" applyBorder="1" applyAlignment="1" applyProtection="1">
      <alignment horizontal="center"/>
    </xf>
    <xf numFmtId="2" fontId="38" fillId="6" borderId="0" xfId="0" applyNumberFormat="1" applyFont="1" applyFill="1" applyBorder="1" applyAlignment="1" applyProtection="1">
      <alignment horizontal="center"/>
      <protection hidden="1"/>
    </xf>
    <xf numFmtId="0" fontId="58" fillId="0" borderId="0" xfId="0" applyNumberFormat="1" applyFont="1" applyBorder="1" applyAlignment="1" applyProtection="1">
      <alignment horizontal="right"/>
      <protection hidden="1"/>
    </xf>
    <xf numFmtId="170" fontId="28" fillId="7" borderId="14" xfId="0" applyNumberFormat="1" applyFont="1" applyFill="1" applyBorder="1" applyAlignment="1" applyProtection="1">
      <alignment horizontal="center"/>
      <protection hidden="1"/>
    </xf>
    <xf numFmtId="0" fontId="21" fillId="7" borderId="61" xfId="0" applyFont="1" applyFill="1" applyBorder="1" applyProtection="1">
      <protection hidden="1"/>
    </xf>
    <xf numFmtId="0" fontId="21" fillId="7" borderId="14" xfId="0" applyFont="1" applyFill="1" applyBorder="1" applyAlignment="1" applyProtection="1">
      <alignment horizontal="center"/>
      <protection hidden="1"/>
    </xf>
    <xf numFmtId="0" fontId="21" fillId="7" borderId="23" xfId="0" applyFont="1" applyFill="1" applyBorder="1" applyAlignment="1" applyProtection="1">
      <alignment horizontal="center"/>
      <protection hidden="1"/>
    </xf>
    <xf numFmtId="0" fontId="46" fillId="7" borderId="66" xfId="0" applyNumberFormat="1" applyFont="1" applyFill="1" applyBorder="1" applyAlignment="1" applyProtection="1">
      <alignment horizontal="center"/>
      <protection hidden="1"/>
    </xf>
    <xf numFmtId="0" fontId="46" fillId="7" borderId="73" xfId="0" applyNumberFormat="1" applyFont="1" applyFill="1" applyBorder="1" applyAlignment="1" applyProtection="1">
      <alignment horizontal="center"/>
      <protection hidden="1"/>
    </xf>
    <xf numFmtId="0" fontId="21" fillId="7" borderId="19" xfId="0" applyFont="1" applyFill="1" applyBorder="1" applyAlignment="1" applyProtection="1">
      <alignment horizontal="center"/>
      <protection hidden="1"/>
    </xf>
    <xf numFmtId="0" fontId="21" fillId="7" borderId="0" xfId="0" applyFont="1" applyFill="1" applyBorder="1" applyAlignment="1" applyProtection="1">
      <alignment horizontal="center"/>
      <protection hidden="1"/>
    </xf>
    <xf numFmtId="0" fontId="21" fillId="11" borderId="84" xfId="0" applyFont="1" applyFill="1" applyBorder="1" applyAlignment="1" applyProtection="1">
      <alignment horizontal="center"/>
      <protection hidden="1"/>
    </xf>
    <xf numFmtId="0" fontId="21" fillId="11" borderId="13" xfId="0" applyFont="1" applyFill="1" applyBorder="1" applyAlignment="1" applyProtection="1">
      <alignment horizontal="center"/>
      <protection hidden="1"/>
    </xf>
    <xf numFmtId="0" fontId="21" fillId="11" borderId="3" xfId="0" applyFont="1" applyFill="1" applyBorder="1" applyAlignment="1" applyProtection="1">
      <alignment horizontal="center"/>
      <protection hidden="1"/>
    </xf>
    <xf numFmtId="0" fontId="28" fillId="11" borderId="0" xfId="0" applyFont="1" applyFill="1" applyBorder="1" applyProtection="1">
      <protection hidden="1"/>
    </xf>
    <xf numFmtId="0" fontId="31" fillId="11" borderId="7" xfId="0" applyFont="1" applyFill="1" applyBorder="1" applyAlignment="1">
      <alignment vertical="center"/>
    </xf>
    <xf numFmtId="0" fontId="32" fillId="11" borderId="0" xfId="0" applyFont="1" applyFill="1" applyBorder="1" applyProtection="1">
      <protection hidden="1"/>
    </xf>
    <xf numFmtId="0" fontId="44" fillId="11" borderId="0" xfId="0" applyFont="1" applyFill="1" applyBorder="1" applyProtection="1">
      <protection hidden="1"/>
    </xf>
    <xf numFmtId="2" fontId="21" fillId="0" borderId="5" xfId="0" applyNumberFormat="1" applyFont="1" applyBorder="1" applyProtection="1">
      <protection hidden="1"/>
    </xf>
    <xf numFmtId="171" fontId="33" fillId="7" borderId="13" xfId="0" applyNumberFormat="1" applyFont="1" applyFill="1" applyBorder="1" applyAlignment="1" applyProtection="1">
      <alignment horizontal="right" indent="1"/>
      <protection hidden="1"/>
    </xf>
    <xf numFmtId="0" fontId="21" fillId="2" borderId="13" xfId="0" applyFont="1" applyFill="1" applyBorder="1" applyAlignment="1" applyProtection="1">
      <alignment horizontal="right"/>
      <protection hidden="1"/>
    </xf>
    <xf numFmtId="171" fontId="28" fillId="7" borderId="13" xfId="0" applyNumberFormat="1" applyFont="1" applyFill="1" applyBorder="1" applyAlignment="1" applyProtection="1">
      <alignment horizontal="right"/>
      <protection hidden="1"/>
    </xf>
    <xf numFmtId="171" fontId="33" fillId="7" borderId="13" xfId="0" applyNumberFormat="1" applyFont="1" applyFill="1" applyBorder="1" applyAlignment="1" applyProtection="1">
      <alignment horizontal="right"/>
      <protection hidden="1"/>
    </xf>
    <xf numFmtId="0" fontId="32" fillId="0" borderId="0" xfId="0" applyFont="1" applyFill="1" applyBorder="1" applyAlignment="1" applyProtection="1">
      <alignment vertical="center"/>
    </xf>
    <xf numFmtId="0" fontId="21" fillId="2" borderId="31" xfId="0" applyFont="1" applyFill="1" applyBorder="1" applyAlignment="1" applyProtection="1">
      <alignment horizontal="left"/>
      <protection hidden="1"/>
    </xf>
    <xf numFmtId="167" fontId="21" fillId="3" borderId="14" xfId="1" applyNumberFormat="1" applyFont="1" applyFill="1" applyBorder="1" applyAlignment="1" applyProtection="1">
      <alignment horizontal="right" vertical="center"/>
      <protection locked="0"/>
    </xf>
    <xf numFmtId="167" fontId="28" fillId="7" borderId="42" xfId="1" applyNumberFormat="1" applyFont="1" applyFill="1" applyBorder="1" applyAlignment="1" applyProtection="1">
      <alignment horizontal="right" vertical="center"/>
      <protection hidden="1"/>
    </xf>
    <xf numFmtId="0" fontId="81" fillId="0" borderId="0" xfId="0" applyFont="1"/>
    <xf numFmtId="0" fontId="27" fillId="0" borderId="0" xfId="0" applyFont="1" applyBorder="1" applyAlignment="1" applyProtection="1">
      <alignment horizontal="left"/>
      <protection hidden="1"/>
    </xf>
    <xf numFmtId="0" fontId="21" fillId="2" borderId="24" xfId="0" applyFont="1" applyFill="1" applyBorder="1" applyAlignment="1" applyProtection="1">
      <alignment horizontal="center" wrapText="1"/>
      <protection hidden="1"/>
    </xf>
    <xf numFmtId="0" fontId="27" fillId="2" borderId="23" xfId="0" applyFont="1" applyFill="1" applyBorder="1" applyAlignment="1" applyProtection="1">
      <alignment horizontal="right" vertical="center"/>
      <protection hidden="1"/>
    </xf>
    <xf numFmtId="0" fontId="21" fillId="2" borderId="42" xfId="0" applyFont="1" applyFill="1" applyBorder="1" applyAlignment="1" applyProtection="1">
      <alignment horizontal="center"/>
      <protection hidden="1"/>
    </xf>
    <xf numFmtId="3" fontId="33" fillId="7" borderId="42" xfId="0" applyNumberFormat="1" applyFont="1" applyFill="1" applyBorder="1" applyAlignment="1" applyProtection="1">
      <alignment horizontal="center"/>
      <protection hidden="1"/>
    </xf>
    <xf numFmtId="0" fontId="27" fillId="2" borderId="24" xfId="0" applyFont="1" applyFill="1" applyBorder="1" applyAlignment="1" applyProtection="1">
      <alignment horizontal="left"/>
      <protection hidden="1"/>
    </xf>
    <xf numFmtId="0" fontId="21" fillId="2" borderId="8" xfId="0" applyFont="1" applyFill="1" applyBorder="1" applyAlignment="1" applyProtection="1">
      <alignment vertical="center"/>
      <protection hidden="1"/>
    </xf>
    <xf numFmtId="0" fontId="21" fillId="2" borderId="24" xfId="0" applyFont="1" applyFill="1" applyBorder="1" applyAlignment="1" applyProtection="1">
      <alignment horizontal="center" vertical="center" wrapText="1"/>
      <protection hidden="1"/>
    </xf>
    <xf numFmtId="0" fontId="21" fillId="2" borderId="1" xfId="0" applyFont="1" applyFill="1" applyBorder="1" applyAlignment="1" applyProtection="1">
      <alignment horizontal="left" vertical="center"/>
      <protection hidden="1"/>
    </xf>
    <xf numFmtId="0" fontId="21" fillId="2" borderId="2" xfId="0" applyFont="1" applyFill="1" applyBorder="1" applyAlignment="1" applyProtection="1">
      <alignment horizontal="center"/>
      <protection hidden="1"/>
    </xf>
    <xf numFmtId="0" fontId="41" fillId="2" borderId="3" xfId="0" applyFont="1" applyFill="1" applyBorder="1" applyAlignment="1" applyProtection="1">
      <alignment horizontal="center"/>
      <protection hidden="1"/>
    </xf>
    <xf numFmtId="0" fontId="21" fillId="2" borderId="6" xfId="0" applyFont="1" applyFill="1" applyBorder="1" applyAlignment="1" applyProtection="1">
      <alignment horizontal="left" vertical="center"/>
      <protection hidden="1"/>
    </xf>
    <xf numFmtId="0" fontId="21" fillId="2" borderId="7" xfId="0" applyFont="1" applyFill="1" applyBorder="1" applyAlignment="1" applyProtection="1">
      <alignment horizontal="center"/>
      <protection hidden="1"/>
    </xf>
    <xf numFmtId="0" fontId="41" fillId="2" borderId="8" xfId="0" applyFont="1" applyFill="1" applyBorder="1" applyAlignment="1" applyProtection="1">
      <alignment horizontal="center"/>
      <protection hidden="1"/>
    </xf>
    <xf numFmtId="10" fontId="33" fillId="3" borderId="15" xfId="3" applyNumberFormat="1" applyFont="1" applyFill="1" applyBorder="1" applyAlignment="1" applyProtection="1">
      <alignment horizontal="right" vertical="center"/>
      <protection locked="0"/>
    </xf>
    <xf numFmtId="0" fontId="33" fillId="13" borderId="23" xfId="0" applyFont="1" applyFill="1" applyBorder="1" applyAlignment="1" applyProtection="1">
      <alignment horizontal="center" wrapText="1"/>
    </xf>
    <xf numFmtId="0" fontId="33" fillId="13" borderId="19" xfId="0" applyFont="1" applyFill="1" applyBorder="1" applyAlignment="1" applyProtection="1">
      <alignment horizontal="center" wrapText="1"/>
    </xf>
    <xf numFmtId="0" fontId="33" fillId="13" borderId="24" xfId="0" applyFont="1" applyFill="1" applyBorder="1" applyAlignment="1" applyProtection="1">
      <alignment horizontal="center"/>
    </xf>
    <xf numFmtId="0" fontId="33" fillId="14" borderId="23" xfId="0" applyFont="1" applyFill="1" applyBorder="1" applyAlignment="1" applyProtection="1">
      <alignment horizontal="center" wrapText="1"/>
    </xf>
    <xf numFmtId="0" fontId="21" fillId="0" borderId="0" xfId="0" applyFont="1" applyAlignment="1" applyProtection="1">
      <alignment horizontal="right" vertical="center"/>
      <protection hidden="1"/>
    </xf>
    <xf numFmtId="0" fontId="82" fillId="0" borderId="0" xfId="0" applyFont="1" applyBorder="1" applyAlignment="1">
      <alignment vertical="top"/>
    </xf>
    <xf numFmtId="0" fontId="33" fillId="10" borderId="0" xfId="0" applyFont="1" applyFill="1" applyBorder="1" applyProtection="1">
      <protection hidden="1"/>
    </xf>
    <xf numFmtId="0" fontId="33" fillId="10" borderId="0" xfId="0" applyFont="1" applyFill="1" applyBorder="1" applyAlignment="1" applyProtection="1">
      <alignment vertical="center"/>
      <protection hidden="1"/>
    </xf>
    <xf numFmtId="167" fontId="33" fillId="10" borderId="0" xfId="0" applyNumberFormat="1" applyFont="1" applyFill="1" applyBorder="1" applyAlignment="1" applyProtection="1">
      <alignment vertical="center"/>
      <protection hidden="1"/>
    </xf>
    <xf numFmtId="0" fontId="21" fillId="10" borderId="0" xfId="0" applyFont="1" applyFill="1" applyBorder="1" applyAlignment="1" applyProtection="1">
      <alignment vertical="center"/>
      <protection hidden="1"/>
    </xf>
    <xf numFmtId="165" fontId="33" fillId="7" borderId="40" xfId="0" applyNumberFormat="1" applyFont="1" applyFill="1" applyBorder="1" applyAlignment="1" applyProtection="1">
      <alignment vertical="center"/>
      <protection hidden="1"/>
    </xf>
    <xf numFmtId="0" fontId="21" fillId="10" borderId="0" xfId="0" applyFont="1" applyFill="1" applyProtection="1">
      <protection hidden="1"/>
    </xf>
    <xf numFmtId="0" fontId="21" fillId="10" borderId="0" xfId="0" applyFont="1" applyFill="1" applyBorder="1" applyAlignment="1" applyProtection="1">
      <protection hidden="1"/>
    </xf>
    <xf numFmtId="0" fontId="27" fillId="0" borderId="0" xfId="0" applyFont="1" applyAlignment="1" applyProtection="1">
      <alignment vertical="center"/>
      <protection hidden="1"/>
    </xf>
    <xf numFmtId="165" fontId="21" fillId="7" borderId="14" xfId="1" applyNumberFormat="1" applyFont="1" applyFill="1" applyBorder="1" applyAlignment="1" applyProtection="1">
      <alignment horizontal="right" vertical="center"/>
      <protection hidden="1"/>
    </xf>
    <xf numFmtId="165" fontId="28" fillId="7" borderId="42" xfId="1" applyNumberFormat="1" applyFont="1" applyFill="1" applyBorder="1" applyAlignment="1" applyProtection="1">
      <alignment horizontal="right" vertical="center"/>
      <protection hidden="1"/>
    </xf>
    <xf numFmtId="0" fontId="48" fillId="0" borderId="0" xfId="0" applyFont="1" applyBorder="1" applyAlignment="1" applyProtection="1">
      <alignment horizontal="right" vertical="center"/>
      <protection hidden="1"/>
    </xf>
    <xf numFmtId="168" fontId="28" fillId="7" borderId="34" xfId="0" applyNumberFormat="1" applyFont="1" applyFill="1" applyBorder="1" applyAlignment="1" applyProtection="1">
      <alignment vertical="center"/>
      <protection hidden="1"/>
    </xf>
    <xf numFmtId="169" fontId="28" fillId="7" borderId="34" xfId="1" applyNumberFormat="1" applyFont="1" applyFill="1" applyBorder="1" applyAlignment="1" applyProtection="1">
      <alignment vertical="center"/>
      <protection hidden="1"/>
    </xf>
    <xf numFmtId="0" fontId="0" fillId="8" borderId="0" xfId="0" applyFont="1" applyFill="1" applyProtection="1">
      <protection hidden="1"/>
    </xf>
    <xf numFmtId="165" fontId="27" fillId="7" borderId="15" xfId="0" applyNumberFormat="1" applyFont="1" applyFill="1" applyBorder="1" applyAlignment="1" applyProtection="1">
      <alignment horizontal="right" indent="1"/>
      <protection hidden="1"/>
    </xf>
    <xf numFmtId="0" fontId="84" fillId="11" borderId="24" xfId="0" applyFont="1" applyFill="1" applyBorder="1" applyAlignment="1" applyProtection="1">
      <alignment horizontal="center"/>
      <protection hidden="1"/>
    </xf>
    <xf numFmtId="2" fontId="84" fillId="7" borderId="19" xfId="0" applyNumberFormat="1" applyFont="1" applyFill="1" applyBorder="1" applyAlignment="1" applyProtection="1">
      <alignment horizontal="center"/>
      <protection hidden="1"/>
    </xf>
    <xf numFmtId="0" fontId="84" fillId="11" borderId="0" xfId="0" applyFont="1" applyFill="1" applyBorder="1" applyProtection="1">
      <protection hidden="1"/>
    </xf>
    <xf numFmtId="0" fontId="48" fillId="0" borderId="0" xfId="0" applyFont="1" applyAlignment="1" applyProtection="1">
      <alignment vertical="center"/>
      <protection hidden="1"/>
    </xf>
    <xf numFmtId="10" fontId="21" fillId="3" borderId="14" xfId="1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 applyProtection="1"/>
    <xf numFmtId="0" fontId="28" fillId="12" borderId="75" xfId="0" applyFont="1" applyFill="1" applyBorder="1" applyAlignment="1" applyProtection="1"/>
    <xf numFmtId="0" fontId="33" fillId="12" borderId="75" xfId="0" applyFont="1" applyFill="1" applyBorder="1" applyAlignment="1" applyProtection="1">
      <alignment vertical="center"/>
    </xf>
    <xf numFmtId="0" fontId="21" fillId="12" borderId="77" xfId="0" applyFont="1" applyFill="1" applyBorder="1" applyProtection="1"/>
    <xf numFmtId="0" fontId="33" fillId="12" borderId="53" xfId="0" applyFont="1" applyFill="1" applyBorder="1" applyAlignment="1" applyProtection="1">
      <alignment vertical="center"/>
    </xf>
    <xf numFmtId="0" fontId="33" fillId="12" borderId="0" xfId="0" applyFont="1" applyFill="1" applyBorder="1" applyAlignment="1" applyProtection="1">
      <alignment vertical="center"/>
    </xf>
    <xf numFmtId="0" fontId="21" fillId="12" borderId="52" xfId="0" applyFont="1" applyFill="1" applyBorder="1" applyProtection="1"/>
    <xf numFmtId="0" fontId="28" fillId="12" borderId="53" xfId="0" applyFont="1" applyFill="1" applyBorder="1" applyAlignment="1" applyProtection="1">
      <alignment vertical="center"/>
    </xf>
    <xf numFmtId="0" fontId="21" fillId="12" borderId="0" xfId="0" applyFont="1" applyFill="1" applyBorder="1" applyProtection="1"/>
    <xf numFmtId="49" fontId="88" fillId="12" borderId="0" xfId="0" applyNumberFormat="1" applyFont="1" applyFill="1" applyBorder="1" applyAlignment="1" applyProtection="1">
      <alignment horizontal="center" vertical="center"/>
    </xf>
    <xf numFmtId="49" fontId="28" fillId="16" borderId="23" xfId="0" applyNumberFormat="1" applyFont="1" applyFill="1" applyBorder="1" applyAlignment="1" applyProtection="1">
      <alignment horizontal="center" vertical="center"/>
      <protection locked="0"/>
    </xf>
    <xf numFmtId="14" fontId="28" fillId="16" borderId="14" xfId="0" applyNumberFormat="1" applyFont="1" applyFill="1" applyBorder="1" applyAlignment="1" applyProtection="1">
      <alignment vertical="center"/>
      <protection locked="0"/>
    </xf>
    <xf numFmtId="0" fontId="28" fillId="12" borderId="0" xfId="0" applyFont="1" applyFill="1" applyBorder="1" applyAlignment="1" applyProtection="1">
      <alignment vertical="center"/>
    </xf>
    <xf numFmtId="49" fontId="28" fillId="12" borderId="0" xfId="0" applyNumberFormat="1" applyFont="1" applyFill="1" applyBorder="1" applyAlignment="1" applyProtection="1">
      <alignment horizontal="left" vertical="center"/>
    </xf>
    <xf numFmtId="49" fontId="28" fillId="12" borderId="0" xfId="0" applyNumberFormat="1" applyFont="1" applyFill="1" applyBorder="1" applyAlignment="1" applyProtection="1">
      <alignment horizontal="center" vertical="center"/>
    </xf>
    <xf numFmtId="0" fontId="26" fillId="12" borderId="0" xfId="5" applyFont="1" applyFill="1" applyBorder="1" applyAlignment="1" applyProtection="1"/>
    <xf numFmtId="0" fontId="28" fillId="12" borderId="0" xfId="0" applyFont="1" applyFill="1" applyBorder="1" applyAlignment="1" applyProtection="1">
      <alignment horizontal="right"/>
    </xf>
    <xf numFmtId="14" fontId="26" fillId="12" borderId="0" xfId="5" applyNumberFormat="1" applyFont="1" applyFill="1" applyBorder="1" applyProtection="1"/>
    <xf numFmtId="0" fontId="28" fillId="16" borderId="14" xfId="0" applyFont="1" applyFill="1" applyBorder="1" applyAlignment="1" applyProtection="1">
      <alignment vertical="center"/>
      <protection locked="0"/>
    </xf>
    <xf numFmtId="0" fontId="28" fillId="12" borderId="1" xfId="0" applyFont="1" applyFill="1" applyBorder="1" applyAlignment="1" applyProtection="1">
      <alignment vertical="center"/>
    </xf>
    <xf numFmtId="0" fontId="28" fillId="12" borderId="2" xfId="0" applyFont="1" applyFill="1" applyBorder="1" applyAlignment="1" applyProtection="1">
      <alignment vertical="center"/>
    </xf>
    <xf numFmtId="0" fontId="21" fillId="12" borderId="58" xfId="0" applyFont="1" applyFill="1" applyBorder="1" applyProtection="1"/>
    <xf numFmtId="0" fontId="28" fillId="12" borderId="4" xfId="0" applyFont="1" applyFill="1" applyBorder="1" applyAlignment="1" applyProtection="1">
      <alignment vertical="center"/>
    </xf>
    <xf numFmtId="0" fontId="28" fillId="16" borderId="12" xfId="0" applyFont="1" applyFill="1" applyBorder="1" applyAlignment="1" applyProtection="1">
      <alignment vertical="center"/>
      <protection locked="0"/>
    </xf>
    <xf numFmtId="0" fontId="21" fillId="16" borderId="58" xfId="0" applyFont="1" applyFill="1" applyBorder="1" applyProtection="1">
      <protection locked="0"/>
    </xf>
    <xf numFmtId="0" fontId="28" fillId="12" borderId="6" xfId="0" applyFont="1" applyFill="1" applyBorder="1" applyAlignment="1" applyProtection="1">
      <alignment vertical="center"/>
    </xf>
    <xf numFmtId="0" fontId="33" fillId="12" borderId="80" xfId="0" applyFont="1" applyFill="1" applyBorder="1" applyAlignment="1" applyProtection="1">
      <alignment vertical="center"/>
    </xf>
    <xf numFmtId="0" fontId="28" fillId="12" borderId="80" xfId="0" applyFont="1" applyFill="1" applyBorder="1" applyAlignment="1" applyProtection="1">
      <alignment vertical="center"/>
    </xf>
    <xf numFmtId="0" fontId="21" fillId="12" borderId="81" xfId="0" applyFont="1" applyFill="1" applyBorder="1" applyProtection="1"/>
    <xf numFmtId="0" fontId="28" fillId="12" borderId="23" xfId="0" applyFont="1" applyFill="1" applyBorder="1" applyAlignment="1" applyProtection="1">
      <alignment horizontal="center" vertical="top" wrapText="1"/>
    </xf>
    <xf numFmtId="44" fontId="89" fillId="21" borderId="2" xfId="3" applyFont="1" applyFill="1" applyBorder="1" applyAlignment="1" applyProtection="1">
      <alignment vertical="top"/>
    </xf>
    <xf numFmtId="0" fontId="87" fillId="21" borderId="2" xfId="0" applyFont="1" applyFill="1" applyBorder="1" applyAlignment="1" applyProtection="1">
      <alignment horizontal="center" vertical="top" wrapText="1"/>
    </xf>
    <xf numFmtId="0" fontId="90" fillId="21" borderId="2" xfId="0" applyFont="1" applyFill="1" applyBorder="1" applyAlignment="1" applyProtection="1">
      <alignment horizontal="center" vertical="center" wrapText="1"/>
    </xf>
    <xf numFmtId="0" fontId="91" fillId="21" borderId="2" xfId="0" applyFont="1" applyFill="1" applyBorder="1" applyAlignment="1" applyProtection="1">
      <alignment horizontal="center" vertical="top" wrapText="1"/>
    </xf>
    <xf numFmtId="0" fontId="21" fillId="6" borderId="10" xfId="0" applyFont="1" applyFill="1" applyBorder="1" applyProtection="1"/>
    <xf numFmtId="4" fontId="21" fillId="16" borderId="24" xfId="0" applyNumberFormat="1" applyFont="1" applyFill="1" applyBorder="1" applyAlignment="1" applyProtection="1">
      <alignment horizontal="center"/>
      <protection locked="0"/>
    </xf>
    <xf numFmtId="4" fontId="21" fillId="0" borderId="24" xfId="0" applyNumberFormat="1" applyFont="1" applyBorder="1" applyAlignment="1" applyProtection="1">
      <alignment horizontal="center"/>
    </xf>
    <xf numFmtId="4" fontId="21" fillId="16" borderId="14" xfId="0" applyNumberFormat="1" applyFont="1" applyFill="1" applyBorder="1" applyAlignment="1" applyProtection="1">
      <alignment horizontal="center"/>
      <protection locked="0"/>
    </xf>
    <xf numFmtId="4" fontId="21" fillId="16" borderId="23" xfId="0" applyNumberFormat="1" applyFont="1" applyFill="1" applyBorder="1" applyAlignment="1" applyProtection="1">
      <alignment horizontal="center"/>
      <protection locked="0"/>
    </xf>
    <xf numFmtId="4" fontId="27" fillId="0" borderId="10" xfId="0" applyNumberFormat="1" applyFont="1" applyBorder="1" applyAlignment="1" applyProtection="1">
      <alignment horizontal="center"/>
    </xf>
    <xf numFmtId="0" fontId="21" fillId="0" borderId="0" xfId="0" applyFont="1" applyBorder="1" applyProtection="1"/>
    <xf numFmtId="4" fontId="21" fillId="0" borderId="14" xfId="0" applyNumberFormat="1" applyFont="1" applyBorder="1" applyAlignment="1" applyProtection="1">
      <alignment horizontal="center"/>
    </xf>
    <xf numFmtId="0" fontId="27" fillId="6" borderId="0" xfId="0" applyFont="1" applyFill="1" applyBorder="1" applyProtection="1"/>
    <xf numFmtId="0" fontId="21" fillId="6" borderId="0" xfId="0" applyFont="1" applyFill="1" applyBorder="1" applyProtection="1"/>
    <xf numFmtId="0" fontId="21" fillId="0" borderId="11" xfId="0" applyFont="1" applyBorder="1" applyProtection="1"/>
    <xf numFmtId="4" fontId="21" fillId="0" borderId="10" xfId="0" applyNumberFormat="1" applyFont="1" applyBorder="1" applyAlignment="1" applyProtection="1">
      <alignment horizontal="center"/>
    </xf>
    <xf numFmtId="0" fontId="27" fillId="0" borderId="10" xfId="0" applyFont="1" applyBorder="1" applyProtection="1"/>
    <xf numFmtId="4" fontId="21" fillId="20" borderId="59" xfId="0" applyNumberFormat="1" applyFont="1" applyFill="1" applyBorder="1" applyAlignment="1" applyProtection="1">
      <alignment horizontal="center" wrapText="1"/>
    </xf>
    <xf numFmtId="4" fontId="21" fillId="12" borderId="18" xfId="0" applyNumberFormat="1" applyFont="1" applyFill="1" applyBorder="1" applyAlignment="1" applyProtection="1">
      <alignment horizontal="center"/>
    </xf>
    <xf numFmtId="4" fontId="21" fillId="12" borderId="14" xfId="0" applyNumberFormat="1" applyFont="1" applyFill="1" applyBorder="1" applyAlignment="1" applyProtection="1">
      <alignment horizontal="center" wrapText="1"/>
    </xf>
    <xf numFmtId="4" fontId="21" fillId="23" borderId="66" xfId="0" applyNumberFormat="1" applyFont="1" applyFill="1" applyBorder="1" applyAlignment="1" applyProtection="1">
      <alignment horizontal="center"/>
      <protection hidden="1"/>
    </xf>
    <xf numFmtId="4" fontId="21" fillId="23" borderId="0" xfId="0" applyNumberFormat="1" applyFont="1" applyFill="1" applyBorder="1" applyAlignment="1" applyProtection="1">
      <alignment horizontal="center"/>
    </xf>
    <xf numFmtId="4" fontId="21" fillId="23" borderId="14" xfId="0" applyNumberFormat="1" applyFont="1" applyFill="1" applyBorder="1" applyAlignment="1" applyProtection="1">
      <alignment horizontal="center"/>
      <protection hidden="1"/>
    </xf>
    <xf numFmtId="4" fontId="21" fillId="23" borderId="73" xfId="0" applyNumberFormat="1" applyFont="1" applyFill="1" applyBorder="1" applyAlignment="1" applyProtection="1">
      <alignment horizontal="center"/>
      <protection hidden="1"/>
    </xf>
    <xf numFmtId="4" fontId="27" fillId="0" borderId="10" xfId="0" applyNumberFormat="1" applyFont="1" applyBorder="1" applyAlignment="1" applyProtection="1">
      <alignment horizontal="center"/>
      <protection hidden="1"/>
    </xf>
    <xf numFmtId="4" fontId="27" fillId="22" borderId="15" xfId="0" applyNumberFormat="1" applyFont="1" applyFill="1" applyBorder="1" applyAlignment="1" applyProtection="1">
      <alignment horizontal="center"/>
      <protection hidden="1"/>
    </xf>
    <xf numFmtId="165" fontId="28" fillId="7" borderId="15" xfId="0" applyNumberFormat="1" applyFont="1" applyFill="1" applyBorder="1" applyAlignment="1" applyProtection="1">
      <alignment horizontal="right" vertical="center"/>
      <protection hidden="1"/>
    </xf>
    <xf numFmtId="0" fontId="88" fillId="12" borderId="0" xfId="0" applyFont="1" applyFill="1" applyBorder="1" applyAlignment="1" applyProtection="1">
      <alignment vertical="center"/>
      <protection hidden="1"/>
    </xf>
    <xf numFmtId="0" fontId="28" fillId="12" borderId="0" xfId="0" applyFont="1" applyFill="1" applyBorder="1" applyAlignment="1" applyProtection="1">
      <alignment vertical="center"/>
      <protection hidden="1"/>
    </xf>
    <xf numFmtId="0" fontId="42" fillId="0" borderId="0" xfId="0" applyFont="1" applyFill="1"/>
    <xf numFmtId="0" fontId="31" fillId="0" borderId="0" xfId="0" applyFont="1" applyFill="1" applyProtection="1">
      <protection hidden="1"/>
    </xf>
    <xf numFmtId="3" fontId="27" fillId="6" borderId="0" xfId="0" applyNumberFormat="1" applyFont="1" applyFill="1" applyBorder="1" applyAlignment="1" applyProtection="1">
      <alignment horizontal="center" vertical="center"/>
      <protection hidden="1"/>
    </xf>
    <xf numFmtId="0" fontId="94" fillId="0" borderId="0" xfId="0" applyFont="1"/>
    <xf numFmtId="0" fontId="95" fillId="0" borderId="0" xfId="0" applyFont="1"/>
    <xf numFmtId="0" fontId="94" fillId="0" borderId="0" xfId="0" applyFont="1" applyProtection="1">
      <protection hidden="1"/>
    </xf>
    <xf numFmtId="0" fontId="34" fillId="0" borderId="5" xfId="0" applyFont="1" applyFill="1" applyBorder="1" applyAlignment="1" applyProtection="1">
      <alignment horizontal="right"/>
    </xf>
    <xf numFmtId="0" fontId="33" fillId="6" borderId="0" xfId="0" applyFont="1" applyFill="1" applyBorder="1" applyProtection="1"/>
    <xf numFmtId="2" fontId="33" fillId="6" borderId="0" xfId="0" applyNumberFormat="1" applyFont="1" applyFill="1" applyBorder="1" applyAlignment="1" applyProtection="1">
      <protection hidden="1"/>
    </xf>
    <xf numFmtId="165" fontId="28" fillId="8" borderId="10" xfId="0" applyNumberFormat="1" applyFont="1" applyFill="1" applyBorder="1" applyAlignment="1" applyProtection="1">
      <alignment horizontal="right"/>
      <protection hidden="1"/>
    </xf>
    <xf numFmtId="0" fontId="27" fillId="0" borderId="0" xfId="0" applyFont="1" applyFill="1" applyBorder="1" applyAlignment="1" applyProtection="1">
      <protection hidden="1"/>
    </xf>
    <xf numFmtId="0" fontId="35" fillId="0" borderId="0" xfId="2" applyBorder="1" applyAlignment="1" applyProtection="1">
      <protection hidden="1"/>
    </xf>
    <xf numFmtId="2" fontId="65" fillId="0" borderId="0" xfId="0" applyNumberFormat="1" applyFont="1" applyFill="1" applyBorder="1" applyAlignment="1" applyProtection="1">
      <protection hidden="1"/>
    </xf>
    <xf numFmtId="165" fontId="98" fillId="0" borderId="0" xfId="0" applyNumberFormat="1" applyFont="1" applyFill="1" applyBorder="1" applyAlignment="1" applyProtection="1">
      <alignment horizontal="right" indent="1"/>
      <protection hidden="1"/>
    </xf>
    <xf numFmtId="168" fontId="33" fillId="6" borderId="0" xfId="0" applyNumberFormat="1" applyFont="1" applyFill="1" applyBorder="1" applyAlignment="1" applyProtection="1">
      <alignment vertical="center"/>
      <protection locked="0"/>
    </xf>
    <xf numFmtId="14" fontId="82" fillId="0" borderId="0" xfId="0" applyNumberFormat="1" applyFont="1"/>
    <xf numFmtId="0" fontId="34" fillId="6" borderId="0" xfId="0" applyFont="1" applyFill="1" applyBorder="1" applyAlignment="1" applyProtection="1">
      <alignment horizontal="right"/>
      <protection hidden="1"/>
    </xf>
    <xf numFmtId="7" fontId="33" fillId="6" borderId="0" xfId="3" applyNumberFormat="1" applyFont="1" applyFill="1" applyBorder="1" applyAlignment="1" applyProtection="1">
      <alignment horizontal="right"/>
      <protection hidden="1"/>
    </xf>
    <xf numFmtId="14" fontId="21" fillId="0" borderId="4" xfId="0" applyNumberFormat="1" applyFont="1" applyFill="1" applyBorder="1" applyAlignment="1" applyProtection="1">
      <alignment horizontal="center" vertical="top"/>
      <protection hidden="1"/>
    </xf>
    <xf numFmtId="0" fontId="98" fillId="0" borderId="4" xfId="0" applyFont="1" applyFill="1" applyBorder="1" applyAlignment="1" applyProtection="1">
      <alignment horizontal="center"/>
      <protection hidden="1"/>
    </xf>
    <xf numFmtId="1" fontId="65" fillId="0" borderId="4" xfId="0" applyNumberFormat="1" applyFont="1" applyFill="1" applyBorder="1" applyAlignment="1" applyProtection="1">
      <alignment horizontal="center"/>
      <protection hidden="1"/>
    </xf>
    <xf numFmtId="0" fontId="0" fillId="0" borderId="0" xfId="0" applyFont="1" applyBorder="1" applyProtection="1">
      <protection hidden="1"/>
    </xf>
    <xf numFmtId="0" fontId="27" fillId="0" borderId="7" xfId="0" applyFont="1" applyFill="1" applyBorder="1" applyAlignment="1" applyProtection="1">
      <protection hidden="1"/>
    </xf>
    <xf numFmtId="0" fontId="27" fillId="0" borderId="7" xfId="0" applyFont="1" applyFill="1" applyBorder="1" applyAlignment="1" applyProtection="1">
      <alignment horizontal="right"/>
      <protection hidden="1"/>
    </xf>
    <xf numFmtId="0" fontId="99" fillId="0" borderId="0" xfId="0" applyFont="1"/>
    <xf numFmtId="167" fontId="79" fillId="0" borderId="0" xfId="0" applyNumberFormat="1" applyFont="1" applyFill="1" applyBorder="1" applyAlignment="1" applyProtection="1"/>
    <xf numFmtId="0" fontId="33" fillId="0" borderId="23" xfId="0" applyFont="1" applyFill="1" applyBorder="1" applyAlignment="1" applyProtection="1">
      <alignment horizontal="center" wrapText="1"/>
    </xf>
    <xf numFmtId="0" fontId="101" fillId="0" borderId="0" xfId="0" applyFont="1"/>
    <xf numFmtId="0" fontId="34" fillId="10" borderId="5" xfId="0" applyFont="1" applyFill="1" applyBorder="1" applyAlignment="1" applyProtection="1">
      <alignment horizontal="center" vertical="top" wrapText="1"/>
    </xf>
    <xf numFmtId="0" fontId="102" fillId="0" borderId="0" xfId="0" applyFont="1" applyFill="1"/>
    <xf numFmtId="0" fontId="65" fillId="0" borderId="4" xfId="0" applyFont="1" applyFill="1" applyBorder="1" applyAlignment="1" applyProtection="1">
      <alignment horizontal="center" vertical="top" wrapText="1"/>
      <protection hidden="1"/>
    </xf>
    <xf numFmtId="0" fontId="48" fillId="0" borderId="19" xfId="0" applyFont="1" applyBorder="1" applyAlignment="1">
      <alignment horizontal="center" wrapText="1"/>
    </xf>
    <xf numFmtId="0" fontId="34" fillId="10" borderId="5" xfId="0" applyFont="1" applyFill="1" applyBorder="1" applyAlignment="1" applyProtection="1">
      <alignment horizontal="center" wrapText="1"/>
    </xf>
    <xf numFmtId="0" fontId="22" fillId="6" borderId="0" xfId="0" applyFont="1" applyFill="1" applyBorder="1" applyAlignment="1">
      <alignment horizontal="left"/>
    </xf>
    <xf numFmtId="0" fontId="28" fillId="12" borderId="0" xfId="0" applyFont="1" applyFill="1" applyBorder="1" applyAlignment="1" applyProtection="1">
      <alignment horizontal="left"/>
    </xf>
    <xf numFmtId="0" fontId="33" fillId="12" borderId="76" xfId="0" applyFont="1" applyFill="1" applyBorder="1" applyAlignment="1" applyProtection="1">
      <alignment vertical="center"/>
    </xf>
    <xf numFmtId="0" fontId="21" fillId="12" borderId="53" xfId="0" applyFont="1" applyFill="1" applyBorder="1" applyProtection="1"/>
    <xf numFmtId="0" fontId="28" fillId="12" borderId="53" xfId="0" applyFont="1" applyFill="1" applyBorder="1" applyAlignment="1" applyProtection="1">
      <alignment horizontal="center" vertical="center"/>
    </xf>
    <xf numFmtId="4" fontId="21" fillId="12" borderId="18" xfId="0" applyNumberFormat="1" applyFont="1" applyFill="1" applyBorder="1" applyAlignment="1" applyProtection="1">
      <alignment horizontal="center" wrapText="1"/>
    </xf>
    <xf numFmtId="0" fontId="35" fillId="0" borderId="0" xfId="2" applyBorder="1" applyAlignment="1" applyProtection="1"/>
    <xf numFmtId="0" fontId="32" fillId="6" borderId="7" xfId="0" applyFont="1" applyFill="1" applyBorder="1"/>
    <xf numFmtId="0" fontId="92" fillId="0" borderId="0" xfId="0" applyFont="1"/>
    <xf numFmtId="0" fontId="27" fillId="0" borderId="15" xfId="0" applyNumberFormat="1" applyFont="1" applyFill="1" applyBorder="1" applyAlignment="1" applyProtection="1">
      <alignment horizontal="center"/>
    </xf>
    <xf numFmtId="0" fontId="33" fillId="6" borderId="0" xfId="0" applyFont="1" applyFill="1" applyBorder="1" applyAlignment="1" applyProtection="1">
      <alignment horizontal="left"/>
      <protection hidden="1"/>
    </xf>
    <xf numFmtId="1" fontId="28" fillId="6" borderId="0" xfId="0" applyNumberFormat="1" applyFont="1" applyFill="1" applyBorder="1" applyProtection="1">
      <protection hidden="1"/>
    </xf>
    <xf numFmtId="0" fontId="28" fillId="6" borderId="0" xfId="0" applyFont="1" applyFill="1" applyBorder="1" applyAlignment="1" applyProtection="1">
      <alignment horizontal="left"/>
      <protection hidden="1"/>
    </xf>
    <xf numFmtId="2" fontId="21" fillId="6" borderId="0" xfId="0" applyNumberFormat="1" applyFont="1" applyFill="1" applyBorder="1" applyAlignment="1" applyProtection="1">
      <alignment horizontal="center"/>
      <protection locked="0"/>
    </xf>
    <xf numFmtId="0" fontId="32" fillId="6" borderId="0" xfId="0" applyFont="1" applyFill="1" applyBorder="1" applyProtection="1">
      <protection hidden="1"/>
    </xf>
    <xf numFmtId="0" fontId="39" fillId="6" borderId="0" xfId="0" applyFont="1" applyFill="1" applyBorder="1" applyProtection="1">
      <protection hidden="1"/>
    </xf>
    <xf numFmtId="0" fontId="21" fillId="6" borderId="0" xfId="0" applyFont="1" applyFill="1" applyBorder="1" applyAlignment="1" applyProtection="1">
      <protection hidden="1"/>
    </xf>
    <xf numFmtId="0" fontId="21" fillId="6" borderId="0" xfId="0" applyFont="1" applyFill="1" applyBorder="1" applyAlignment="1" applyProtection="1">
      <alignment horizontal="center"/>
      <protection hidden="1"/>
    </xf>
    <xf numFmtId="0" fontId="28" fillId="12" borderId="79" xfId="0" applyFont="1" applyFill="1" applyBorder="1" applyAlignment="1" applyProtection="1">
      <alignment vertical="center"/>
    </xf>
    <xf numFmtId="0" fontId="28" fillId="12" borderId="0" xfId="0" applyFont="1" applyFill="1" applyBorder="1" applyAlignment="1" applyProtection="1"/>
    <xf numFmtId="0" fontId="28" fillId="12" borderId="76" xfId="0" applyFont="1" applyFill="1" applyBorder="1" applyAlignment="1" applyProtection="1">
      <alignment vertical="center"/>
    </xf>
    <xf numFmtId="0" fontId="28" fillId="12" borderId="80" xfId="0" applyFont="1" applyFill="1" applyBorder="1" applyAlignment="1" applyProtection="1"/>
    <xf numFmtId="0" fontId="69" fillId="0" borderId="79" xfId="0" applyFont="1" applyBorder="1" applyAlignment="1" applyProtection="1">
      <alignment vertical="center"/>
    </xf>
    <xf numFmtId="168" fontId="27" fillId="0" borderId="15" xfId="0" applyNumberFormat="1" applyFont="1" applyBorder="1" applyAlignment="1" applyProtection="1">
      <alignment horizontal="center"/>
    </xf>
    <xf numFmtId="168" fontId="21" fillId="16" borderId="8" xfId="0" applyNumberFormat="1" applyFont="1" applyFill="1" applyBorder="1" applyAlignment="1" applyProtection="1">
      <alignment horizontal="center"/>
      <protection locked="0"/>
    </xf>
    <xf numFmtId="168" fontId="27" fillId="22" borderId="54" xfId="0" applyNumberFormat="1" applyFont="1" applyFill="1" applyBorder="1" applyAlignment="1" applyProtection="1">
      <alignment horizontal="center"/>
    </xf>
    <xf numFmtId="2" fontId="28" fillId="16" borderId="14" xfId="0" applyNumberFormat="1" applyFont="1" applyFill="1" applyBorder="1" applyAlignment="1" applyProtection="1">
      <alignment vertical="center"/>
      <protection locked="0"/>
    </xf>
    <xf numFmtId="2" fontId="28" fillId="16" borderId="12" xfId="0" applyNumberFormat="1" applyFont="1" applyFill="1" applyBorder="1" applyAlignment="1" applyProtection="1">
      <alignment vertical="center"/>
      <protection locked="0"/>
    </xf>
    <xf numFmtId="2" fontId="21" fillId="16" borderId="58" xfId="0" applyNumberFormat="1" applyFont="1" applyFill="1" applyBorder="1" applyProtection="1">
      <protection locked="0"/>
    </xf>
    <xf numFmtId="0" fontId="27" fillId="0" borderId="75" xfId="0" applyFont="1" applyBorder="1" applyProtection="1"/>
    <xf numFmtId="0" fontId="107" fillId="0" borderId="0" xfId="0" applyFont="1" applyBorder="1" applyProtection="1">
      <protection hidden="1"/>
    </xf>
    <xf numFmtId="0" fontId="33" fillId="0" borderId="7" xfId="0" applyFont="1" applyFill="1" applyBorder="1" applyProtection="1">
      <protection hidden="1"/>
    </xf>
    <xf numFmtId="1" fontId="21" fillId="0" borderId="7" xfId="0" applyNumberFormat="1" applyFont="1" applyBorder="1" applyAlignment="1" applyProtection="1">
      <alignment horizontal="left"/>
      <protection hidden="1"/>
    </xf>
    <xf numFmtId="10" fontId="21" fillId="6" borderId="0" xfId="0" applyNumberFormat="1" applyFont="1" applyFill="1" applyBorder="1" applyProtection="1">
      <protection hidden="1"/>
    </xf>
    <xf numFmtId="2" fontId="21" fillId="0" borderId="18" xfId="0" applyNumberFormat="1" applyFont="1" applyBorder="1" applyAlignment="1" applyProtection="1">
      <alignment horizontal="center"/>
      <protection hidden="1"/>
    </xf>
    <xf numFmtId="0" fontId="33" fillId="0" borderId="1" xfId="0" applyFont="1" applyFill="1" applyBorder="1" applyProtection="1">
      <protection hidden="1"/>
    </xf>
    <xf numFmtId="0" fontId="112" fillId="11" borderId="7" xfId="0" applyFont="1" applyFill="1" applyBorder="1" applyAlignment="1" applyProtection="1">
      <alignment horizontal="center"/>
      <protection hidden="1"/>
    </xf>
    <xf numFmtId="2" fontId="112" fillId="7" borderId="0" xfId="0" applyNumberFormat="1" applyFont="1" applyFill="1" applyBorder="1" applyAlignment="1" applyProtection="1">
      <alignment horizontal="center"/>
      <protection hidden="1"/>
    </xf>
    <xf numFmtId="2" fontId="106" fillId="7" borderId="19" xfId="0" applyNumberFormat="1" applyFont="1" applyFill="1" applyBorder="1" applyAlignment="1" applyProtection="1">
      <alignment horizontal="center"/>
      <protection hidden="1"/>
    </xf>
    <xf numFmtId="0" fontId="17" fillId="6" borderId="0" xfId="0" applyFont="1" applyFill="1" applyProtection="1">
      <protection hidden="1"/>
    </xf>
    <xf numFmtId="2" fontId="107" fillId="0" borderId="0" xfId="0" applyNumberFormat="1" applyFont="1" applyBorder="1" applyProtection="1">
      <protection hidden="1"/>
    </xf>
    <xf numFmtId="0" fontId="107" fillId="0" borderId="0" xfId="0" applyFont="1" applyBorder="1" applyAlignment="1" applyProtection="1">
      <alignment horizontal="left"/>
      <protection hidden="1"/>
    </xf>
    <xf numFmtId="0" fontId="46" fillId="6" borderId="74" xfId="0" applyNumberFormat="1" applyFont="1" applyFill="1" applyBorder="1" applyAlignment="1" applyProtection="1">
      <alignment horizontal="center"/>
      <protection hidden="1"/>
    </xf>
    <xf numFmtId="0" fontId="21" fillId="0" borderId="12" xfId="0" applyFont="1" applyBorder="1" applyAlignment="1" applyProtection="1">
      <alignment horizontal="left" vertical="center"/>
      <protection hidden="1"/>
    </xf>
    <xf numFmtId="0" fontId="21" fillId="0" borderId="18" xfId="0" applyFont="1" applyBorder="1" applyAlignment="1" applyProtection="1">
      <alignment horizontal="left" vertical="center"/>
      <protection hidden="1"/>
    </xf>
    <xf numFmtId="0" fontId="21" fillId="0" borderId="13" xfId="0" applyFont="1" applyBorder="1" applyAlignment="1" applyProtection="1">
      <alignment horizontal="left" vertical="center"/>
      <protection hidden="1"/>
    </xf>
    <xf numFmtId="167" fontId="21" fillId="3" borderId="14" xfId="1" applyNumberFormat="1" applyFont="1" applyFill="1" applyBorder="1" applyAlignment="1" applyProtection="1">
      <alignment horizontal="right" vertical="center"/>
      <protection locked="0"/>
    </xf>
    <xf numFmtId="0" fontId="21" fillId="0" borderId="12" xfId="0" applyFont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vertical="center"/>
      <protection hidden="1"/>
    </xf>
    <xf numFmtId="0" fontId="21" fillId="0" borderId="13" xfId="0" applyFont="1" applyBorder="1" applyAlignment="1" applyProtection="1">
      <alignment vertical="center"/>
      <protection hidden="1"/>
    </xf>
    <xf numFmtId="0" fontId="24" fillId="8" borderId="0" xfId="0" applyFont="1" applyFill="1"/>
    <xf numFmtId="0" fontId="0" fillId="8" borderId="0" xfId="0" applyFill="1"/>
    <xf numFmtId="0" fontId="107" fillId="8" borderId="0" xfId="0" applyFont="1" applyFill="1"/>
    <xf numFmtId="0" fontId="42" fillId="8" borderId="0" xfId="0" applyFont="1" applyFill="1"/>
    <xf numFmtId="0" fontId="81" fillId="8" borderId="0" xfId="0" applyFont="1" applyFill="1"/>
    <xf numFmtId="0" fontId="94" fillId="8" borderId="0" xfId="0" applyFont="1" applyFill="1" applyProtection="1">
      <protection hidden="1"/>
    </xf>
    <xf numFmtId="0" fontId="96" fillId="8" borderId="0" xfId="0" applyFont="1" applyFill="1" applyBorder="1" applyProtection="1">
      <protection hidden="1"/>
    </xf>
    <xf numFmtId="0" fontId="94" fillId="8" borderId="0" xfId="0" applyFont="1" applyFill="1" applyBorder="1" applyProtection="1">
      <protection hidden="1"/>
    </xf>
    <xf numFmtId="2" fontId="94" fillId="8" borderId="0" xfId="0" applyNumberFormat="1" applyFont="1" applyFill="1" applyBorder="1" applyProtection="1">
      <protection hidden="1"/>
    </xf>
    <xf numFmtId="2" fontId="0" fillId="8" borderId="0" xfId="0" applyNumberFormat="1" applyFill="1" applyBorder="1" applyProtection="1">
      <protection hidden="1"/>
    </xf>
    <xf numFmtId="0" fontId="21" fillId="8" borderId="0" xfId="0" applyFont="1" applyFill="1"/>
    <xf numFmtId="0" fontId="21" fillId="8" borderId="0" xfId="0" applyFont="1" applyFill="1" applyAlignment="1" applyProtection="1">
      <protection hidden="1"/>
    </xf>
    <xf numFmtId="0" fontId="0" fillId="8" borderId="0" xfId="0" applyFill="1" applyAlignment="1" applyProtection="1">
      <alignment vertical="center"/>
      <protection hidden="1"/>
    </xf>
    <xf numFmtId="0" fontId="36" fillId="8" borderId="0" xfId="0" applyFont="1" applyFill="1" applyProtection="1">
      <protection hidden="1"/>
    </xf>
    <xf numFmtId="0" fontId="101" fillId="8" borderId="0" xfId="0" applyFont="1" applyFill="1"/>
    <xf numFmtId="0" fontId="37" fillId="8" borderId="0" xfId="0" applyFont="1" applyFill="1" applyProtection="1">
      <protection hidden="1"/>
    </xf>
    <xf numFmtId="0" fontId="45" fillId="8" borderId="0" xfId="0" applyFont="1" applyFill="1" applyAlignment="1" applyProtection="1">
      <alignment vertical="center"/>
      <protection hidden="1"/>
    </xf>
    <xf numFmtId="0" fontId="21" fillId="8" borderId="0" xfId="0" applyFont="1" applyFill="1" applyAlignment="1" applyProtection="1">
      <alignment vertical="center"/>
      <protection hidden="1"/>
    </xf>
    <xf numFmtId="0" fontId="45" fillId="8" borderId="0" xfId="0" applyFont="1" applyFill="1" applyProtection="1">
      <protection hidden="1"/>
    </xf>
    <xf numFmtId="0" fontId="32" fillId="8" borderId="0" xfId="0" applyFont="1" applyFill="1" applyProtection="1">
      <protection hidden="1"/>
    </xf>
    <xf numFmtId="0" fontId="46" fillId="8" borderId="0" xfId="0" applyFont="1" applyFill="1" applyProtection="1">
      <protection hidden="1"/>
    </xf>
    <xf numFmtId="0" fontId="93" fillId="8" borderId="0" xfId="0" applyFont="1" applyFill="1" applyBorder="1" applyProtection="1">
      <protection hidden="1"/>
    </xf>
    <xf numFmtId="0" fontId="27" fillId="8" borderId="0" xfId="0" applyFont="1" applyFill="1" applyBorder="1" applyAlignment="1" applyProtection="1">
      <alignment horizontal="center"/>
      <protection hidden="1"/>
    </xf>
    <xf numFmtId="0" fontId="32" fillId="8" borderId="0" xfId="0" applyFont="1" applyFill="1" applyAlignment="1" applyProtection="1">
      <alignment vertical="center"/>
      <protection hidden="1"/>
    </xf>
    <xf numFmtId="0" fontId="100" fillId="8" borderId="0" xfId="0" applyFont="1" applyFill="1" applyAlignment="1" applyProtection="1">
      <alignment vertical="center"/>
      <protection hidden="1"/>
    </xf>
    <xf numFmtId="0" fontId="102" fillId="8" borderId="0" xfId="0" applyFont="1" applyFill="1"/>
    <xf numFmtId="0" fontId="102" fillId="8" borderId="0" xfId="0" applyFont="1" applyFill="1" applyAlignment="1" applyProtection="1">
      <alignment vertical="center"/>
      <protection hidden="1"/>
    </xf>
    <xf numFmtId="0" fontId="82" fillId="8" borderId="0" xfId="0" applyFont="1" applyFill="1" applyAlignment="1" applyProtection="1">
      <alignment vertical="center"/>
      <protection hidden="1"/>
    </xf>
    <xf numFmtId="0" fontId="45" fillId="8" borderId="0" xfId="0" applyFont="1" applyFill="1" applyBorder="1" applyAlignment="1" applyProtection="1">
      <alignment horizontal="left"/>
      <protection hidden="1"/>
    </xf>
    <xf numFmtId="0" fontId="27" fillId="8" borderId="0" xfId="0" applyFont="1" applyFill="1" applyProtection="1">
      <protection hidden="1"/>
    </xf>
    <xf numFmtId="0" fontId="82" fillId="8" borderId="0" xfId="0" applyFont="1" applyFill="1" applyProtection="1">
      <protection hidden="1"/>
    </xf>
    <xf numFmtId="0" fontId="33" fillId="8" borderId="0" xfId="0" applyFont="1" applyFill="1" applyProtection="1">
      <protection hidden="1"/>
    </xf>
    <xf numFmtId="0" fontId="32" fillId="6" borderId="0" xfId="0" applyFont="1" applyFill="1" applyBorder="1" applyAlignment="1" applyProtection="1">
      <alignment horizontal="left"/>
      <protection hidden="1"/>
    </xf>
    <xf numFmtId="0" fontId="106" fillId="8" borderId="0" xfId="0" applyFont="1" applyFill="1" applyProtection="1">
      <protection hidden="1"/>
    </xf>
    <xf numFmtId="0" fontId="106" fillId="8" borderId="0" xfId="0" applyFont="1" applyFill="1" applyAlignment="1" applyProtection="1">
      <alignment vertical="center"/>
      <protection hidden="1"/>
    </xf>
    <xf numFmtId="14" fontId="106" fillId="8" borderId="0" xfId="0" applyNumberFormat="1" applyFont="1" applyFill="1" applyAlignment="1" applyProtection="1">
      <alignment horizontal="left"/>
      <protection hidden="1"/>
    </xf>
    <xf numFmtId="0" fontId="23" fillId="8" borderId="0" xfId="0" applyFont="1" applyFill="1"/>
    <xf numFmtId="0" fontId="82" fillId="8" borderId="0" xfId="0" applyFont="1" applyFill="1"/>
    <xf numFmtId="0" fontId="32" fillId="8" borderId="0" xfId="0" applyFont="1" applyFill="1"/>
    <xf numFmtId="14" fontId="106" fillId="8" borderId="0" xfId="0" applyNumberFormat="1" applyFont="1" applyFill="1"/>
    <xf numFmtId="0" fontId="106" fillId="8" borderId="0" xfId="0" applyFont="1" applyFill="1"/>
    <xf numFmtId="173" fontId="21" fillId="8" borderId="0" xfId="0" applyNumberFormat="1" applyFont="1" applyFill="1"/>
    <xf numFmtId="174" fontId="21" fillId="8" borderId="0" xfId="0" applyNumberFormat="1" applyFont="1" applyFill="1"/>
    <xf numFmtId="0" fontId="48" fillId="8" borderId="0" xfId="0" applyFont="1" applyFill="1" applyAlignment="1">
      <alignment vertical="center"/>
    </xf>
    <xf numFmtId="0" fontId="46" fillId="8" borderId="0" xfId="0" applyFont="1" applyFill="1"/>
    <xf numFmtId="165" fontId="21" fillId="8" borderId="0" xfId="0" applyNumberFormat="1" applyFont="1" applyFill="1"/>
    <xf numFmtId="0" fontId="33" fillId="8" borderId="0" xfId="0" applyFont="1" applyFill="1"/>
    <xf numFmtId="0" fontId="59" fillId="8" borderId="0" xfId="0" applyFont="1" applyFill="1"/>
    <xf numFmtId="0" fontId="38" fillId="8" borderId="0" xfId="0" applyFont="1" applyFill="1"/>
    <xf numFmtId="0" fontId="48" fillId="8" borderId="0" xfId="0" applyFont="1" applyFill="1"/>
    <xf numFmtId="0" fontId="49" fillId="8" borderId="0" xfId="0" applyFont="1" applyFill="1"/>
    <xf numFmtId="0" fontId="84" fillId="8" borderId="0" xfId="0" applyFont="1" applyFill="1"/>
    <xf numFmtId="0" fontId="115" fillId="8" borderId="0" xfId="0" applyFont="1" applyFill="1" applyBorder="1" applyAlignment="1" applyProtection="1">
      <alignment horizontal="left"/>
    </xf>
    <xf numFmtId="0" fontId="27" fillId="0" borderId="7" xfId="0" applyFont="1" applyBorder="1"/>
    <xf numFmtId="0" fontId="103" fillId="8" borderId="0" xfId="0" applyFont="1" applyFill="1"/>
    <xf numFmtId="0" fontId="106" fillId="8" borderId="0" xfId="0" applyFont="1" applyFill="1" applyAlignment="1">
      <alignment horizontal="left"/>
    </xf>
    <xf numFmtId="0" fontId="23" fillId="8" borderId="0" xfId="0" applyFont="1" applyFill="1" applyBorder="1" applyProtection="1">
      <protection hidden="1"/>
    </xf>
    <xf numFmtId="0" fontId="23" fillId="8" borderId="0" xfId="0" applyFont="1" applyFill="1" applyProtection="1">
      <protection hidden="1"/>
    </xf>
    <xf numFmtId="0" fontId="21" fillId="8" borderId="0" xfId="0" applyFont="1" applyFill="1" applyBorder="1" applyAlignment="1" applyProtection="1">
      <alignment vertical="center"/>
      <protection hidden="1"/>
    </xf>
    <xf numFmtId="0" fontId="82" fillId="8" borderId="0" xfId="0" applyFont="1" applyFill="1" applyBorder="1" applyAlignment="1" applyProtection="1">
      <alignment vertical="center"/>
      <protection hidden="1"/>
    </xf>
    <xf numFmtId="0" fontId="32" fillId="8" borderId="0" xfId="0" applyFont="1" applyFill="1" applyBorder="1" applyAlignment="1" applyProtection="1">
      <alignment vertical="center"/>
      <protection hidden="1"/>
    </xf>
    <xf numFmtId="0" fontId="45" fillId="8" borderId="0" xfId="0" applyFont="1" applyFill="1" applyBorder="1" applyAlignment="1" applyProtection="1">
      <alignment vertical="center"/>
      <protection hidden="1"/>
    </xf>
    <xf numFmtId="0" fontId="81" fillId="8" borderId="0" xfId="0" applyFont="1" applyFill="1" applyBorder="1" applyProtection="1">
      <protection hidden="1"/>
    </xf>
    <xf numFmtId="0" fontId="81" fillId="8" borderId="0" xfId="0" applyFont="1" applyFill="1" applyBorder="1" applyAlignment="1" applyProtection="1">
      <alignment vertical="center"/>
      <protection hidden="1"/>
    </xf>
    <xf numFmtId="0" fontId="0" fillId="8" borderId="0" xfId="0" applyFill="1" applyBorder="1" applyAlignment="1" applyProtection="1">
      <alignment vertical="center"/>
      <protection hidden="1"/>
    </xf>
    <xf numFmtId="0" fontId="36" fillId="8" borderId="0" xfId="0" applyFont="1" applyFill="1" applyBorder="1" applyProtection="1">
      <protection hidden="1"/>
    </xf>
    <xf numFmtId="0" fontId="0" fillId="8" borderId="0" xfId="0" applyFill="1" applyAlignment="1" applyProtection="1">
      <alignment horizontal="center" vertical="center"/>
      <protection hidden="1"/>
    </xf>
    <xf numFmtId="0" fontId="47" fillId="8" borderId="0" xfId="0" applyFont="1" applyFill="1" applyBorder="1" applyAlignment="1" applyProtection="1">
      <alignment vertical="center"/>
      <protection hidden="1"/>
    </xf>
    <xf numFmtId="0" fontId="94" fillId="8" borderId="0" xfId="0" applyFont="1" applyFill="1" applyBorder="1" applyAlignment="1" applyProtection="1">
      <alignment vertical="center"/>
      <protection hidden="1"/>
    </xf>
    <xf numFmtId="0" fontId="105" fillId="8" borderId="0" xfId="0" applyFont="1" applyFill="1" applyBorder="1" applyAlignment="1" applyProtection="1">
      <alignment vertical="center"/>
      <protection hidden="1"/>
    </xf>
    <xf numFmtId="0" fontId="42" fillId="8" borderId="0" xfId="0" applyFont="1" applyFill="1" applyBorder="1" applyProtection="1">
      <protection hidden="1"/>
    </xf>
    <xf numFmtId="14" fontId="115" fillId="8" borderId="0" xfId="0" applyNumberFormat="1" applyFont="1" applyFill="1" applyAlignment="1">
      <alignment horizontal="left"/>
    </xf>
    <xf numFmtId="14" fontId="106" fillId="8" borderId="0" xfId="0" applyNumberFormat="1" applyFont="1" applyFill="1" applyAlignment="1">
      <alignment horizontal="left"/>
    </xf>
    <xf numFmtId="0" fontId="106" fillId="8" borderId="0" xfId="0" applyFont="1" applyFill="1" applyBorder="1" applyAlignment="1" applyProtection="1">
      <alignment vertical="center"/>
      <protection hidden="1"/>
    </xf>
    <xf numFmtId="0" fontId="38" fillId="8" borderId="18" xfId="0" applyNumberFormat="1" applyFont="1" applyFill="1" applyBorder="1" applyProtection="1">
      <protection hidden="1"/>
    </xf>
    <xf numFmtId="0" fontId="107" fillId="8" borderId="0" xfId="0" applyFont="1" applyFill="1" applyProtection="1">
      <protection hidden="1"/>
    </xf>
    <xf numFmtId="0" fontId="111" fillId="8" borderId="0" xfId="0" applyFont="1" applyFill="1" applyBorder="1" applyAlignment="1" applyProtection="1">
      <alignment horizontal="left"/>
      <protection hidden="1"/>
    </xf>
    <xf numFmtId="0" fontId="115" fillId="8" borderId="0" xfId="0" applyFont="1" applyFill="1" applyProtection="1">
      <protection hidden="1"/>
    </xf>
    <xf numFmtId="0" fontId="38" fillId="8" borderId="0" xfId="0" applyFont="1" applyFill="1" applyProtection="1">
      <protection hidden="1"/>
    </xf>
    <xf numFmtId="0" fontId="84" fillId="8" borderId="0" xfId="0" applyFont="1" applyFill="1" applyProtection="1">
      <protection hidden="1"/>
    </xf>
    <xf numFmtId="0" fontId="84" fillId="8" borderId="0" xfId="0" applyFont="1" applyFill="1" applyAlignment="1" applyProtection="1">
      <alignment vertical="center"/>
      <protection hidden="1"/>
    </xf>
    <xf numFmtId="2" fontId="116" fillId="11" borderId="24" xfId="0" applyNumberFormat="1" applyFont="1" applyFill="1" applyBorder="1" applyAlignment="1" applyProtection="1">
      <alignment horizontal="center"/>
      <protection hidden="1"/>
    </xf>
    <xf numFmtId="2" fontId="116" fillId="7" borderId="19" xfId="0" applyNumberFormat="1" applyFont="1" applyFill="1" applyBorder="1" applyAlignment="1" applyProtection="1">
      <alignment horizontal="center"/>
      <protection hidden="1"/>
    </xf>
    <xf numFmtId="14" fontId="106" fillId="8" borderId="4" xfId="0" applyNumberFormat="1" applyFont="1" applyFill="1" applyBorder="1"/>
    <xf numFmtId="0" fontId="106" fillId="8" borderId="0" xfId="0" applyFont="1" applyFill="1" applyBorder="1" applyAlignment="1" applyProtection="1">
      <alignment vertical="top"/>
      <protection hidden="1"/>
    </xf>
    <xf numFmtId="14" fontId="115" fillId="8" borderId="0" xfId="0" applyNumberFormat="1" applyFont="1" applyFill="1" applyBorder="1"/>
    <xf numFmtId="0" fontId="115" fillId="8" borderId="0" xfId="0" applyFont="1" applyFill="1" applyBorder="1" applyAlignment="1" applyProtection="1">
      <alignment horizontal="left"/>
      <protection hidden="1"/>
    </xf>
    <xf numFmtId="0" fontId="115" fillId="8" borderId="4" xfId="0" applyFont="1" applyFill="1" applyBorder="1" applyProtection="1">
      <protection hidden="1"/>
    </xf>
    <xf numFmtId="0" fontId="115" fillId="8" borderId="0" xfId="0" applyFont="1" applyFill="1" applyBorder="1" applyProtection="1">
      <protection hidden="1"/>
    </xf>
    <xf numFmtId="10" fontId="76" fillId="8" borderId="0" xfId="4" applyNumberFormat="1" applyFont="1" applyFill="1" applyBorder="1" applyProtection="1">
      <protection hidden="1"/>
    </xf>
    <xf numFmtId="0" fontId="16" fillId="11" borderId="79" xfId="0" applyFont="1" applyFill="1" applyBorder="1" applyProtection="1">
      <protection hidden="1"/>
    </xf>
    <xf numFmtId="0" fontId="16" fillId="11" borderId="0" xfId="0" applyFont="1" applyFill="1" applyBorder="1" applyProtection="1">
      <protection hidden="1"/>
    </xf>
    <xf numFmtId="0" fontId="46" fillId="15" borderId="4" xfId="0" applyFont="1" applyFill="1" applyBorder="1" applyProtection="1">
      <protection hidden="1"/>
    </xf>
    <xf numFmtId="0" fontId="21" fillId="15" borderId="0" xfId="0" applyFont="1" applyFill="1" applyBorder="1" applyAlignment="1" applyProtection="1">
      <alignment horizontal="center"/>
      <protection hidden="1"/>
    </xf>
    <xf numFmtId="0" fontId="21" fillId="15" borderId="0" xfId="0" applyFont="1" applyFill="1" applyBorder="1" applyProtection="1">
      <protection hidden="1"/>
    </xf>
    <xf numFmtId="0" fontId="46" fillId="15" borderId="0" xfId="0" applyFont="1" applyFill="1" applyBorder="1" applyProtection="1">
      <protection hidden="1"/>
    </xf>
    <xf numFmtId="0" fontId="21" fillId="15" borderId="4" xfId="0" applyFont="1" applyFill="1" applyBorder="1" applyProtection="1">
      <protection hidden="1"/>
    </xf>
    <xf numFmtId="10" fontId="46" fillId="15" borderId="0" xfId="0" applyNumberFormat="1" applyFont="1" applyFill="1" applyBorder="1" applyAlignment="1" applyProtection="1">
      <alignment horizontal="center"/>
      <protection hidden="1"/>
    </xf>
    <xf numFmtId="0" fontId="46" fillId="15" borderId="4" xfId="0" applyFont="1" applyFill="1" applyBorder="1" applyAlignment="1" applyProtection="1">
      <alignment horizontal="center"/>
      <protection hidden="1"/>
    </xf>
    <xf numFmtId="0" fontId="46" fillId="15" borderId="4" xfId="0" applyFont="1" applyFill="1" applyBorder="1" applyAlignment="1" applyProtection="1">
      <alignment horizontal="right"/>
      <protection hidden="1"/>
    </xf>
    <xf numFmtId="0" fontId="46" fillId="15" borderId="0" xfId="0" applyNumberFormat="1" applyFont="1" applyFill="1" applyBorder="1" applyAlignment="1" applyProtection="1">
      <alignment horizontal="center"/>
      <protection hidden="1"/>
    </xf>
    <xf numFmtId="0" fontId="106" fillId="15" borderId="4" xfId="0" applyFont="1" applyFill="1" applyBorder="1" applyAlignment="1" applyProtection="1">
      <alignment vertical="top"/>
      <protection hidden="1"/>
    </xf>
    <xf numFmtId="1" fontId="46" fillId="15" borderId="0" xfId="0" applyNumberFormat="1" applyFont="1" applyFill="1" applyBorder="1" applyAlignment="1" applyProtection="1">
      <alignment horizontal="center"/>
      <protection hidden="1"/>
    </xf>
    <xf numFmtId="0" fontId="110" fillId="15" borderId="4" xfId="0" applyFont="1" applyFill="1" applyBorder="1" applyProtection="1">
      <protection hidden="1"/>
    </xf>
    <xf numFmtId="1" fontId="59" fillId="15" borderId="0" xfId="0" applyNumberFormat="1" applyFont="1" applyFill="1" applyBorder="1" applyAlignment="1" applyProtection="1">
      <alignment horizontal="center"/>
      <protection hidden="1"/>
    </xf>
    <xf numFmtId="0" fontId="106" fillId="15" borderId="4" xfId="0" applyFont="1" applyFill="1" applyBorder="1" applyProtection="1">
      <protection hidden="1"/>
    </xf>
    <xf numFmtId="0" fontId="32" fillId="15" borderId="4" xfId="0" applyFont="1" applyFill="1" applyBorder="1" applyProtection="1">
      <protection hidden="1"/>
    </xf>
    <xf numFmtId="0" fontId="38" fillId="15" borderId="4" xfId="0" applyFont="1" applyFill="1" applyBorder="1" applyProtection="1">
      <protection hidden="1"/>
    </xf>
    <xf numFmtId="0" fontId="45" fillId="15" borderId="4" xfId="0" applyFont="1" applyFill="1" applyBorder="1" applyProtection="1">
      <protection hidden="1"/>
    </xf>
    <xf numFmtId="2" fontId="46" fillId="15" borderId="0" xfId="0" applyNumberFormat="1" applyFont="1" applyFill="1" applyBorder="1" applyAlignment="1" applyProtection="1">
      <alignment horizontal="center"/>
      <protection hidden="1"/>
    </xf>
    <xf numFmtId="0" fontId="111" fillId="15" borderId="93" xfId="0" applyNumberFormat="1" applyFont="1" applyFill="1" applyBorder="1" applyAlignment="1" applyProtection="1">
      <alignment horizontal="center"/>
      <protection hidden="1"/>
    </xf>
    <xf numFmtId="0" fontId="111" fillId="15" borderId="96" xfId="0" applyNumberFormat="1" applyFont="1" applyFill="1" applyBorder="1" applyAlignment="1" applyProtection="1">
      <alignment horizontal="center"/>
      <protection hidden="1"/>
    </xf>
    <xf numFmtId="0" fontId="111" fillId="15" borderId="98" xfId="0" applyNumberFormat="1" applyFont="1" applyFill="1" applyBorder="1" applyAlignment="1" applyProtection="1">
      <alignment horizontal="center"/>
      <protection hidden="1"/>
    </xf>
    <xf numFmtId="0" fontId="21" fillId="15" borderId="0" xfId="0" applyFont="1" applyFill="1" applyBorder="1" applyAlignment="1" applyProtection="1">
      <alignment horizontal="right"/>
      <protection hidden="1"/>
    </xf>
    <xf numFmtId="168" fontId="46" fillId="15" borderId="0" xfId="0" applyNumberFormat="1" applyFont="1" applyFill="1" applyBorder="1" applyAlignment="1" applyProtection="1">
      <alignment horizontal="center"/>
      <protection hidden="1"/>
    </xf>
    <xf numFmtId="0" fontId="27" fillId="15" borderId="66" xfId="0" applyFont="1" applyFill="1" applyBorder="1" applyAlignment="1" applyProtection="1">
      <alignment horizontal="center"/>
      <protection hidden="1"/>
    </xf>
    <xf numFmtId="0" fontId="111" fillId="15" borderId="94" xfId="0" applyNumberFormat="1" applyFont="1" applyFill="1" applyBorder="1" applyAlignment="1" applyProtection="1">
      <alignment horizontal="center"/>
      <protection hidden="1"/>
    </xf>
    <xf numFmtId="0" fontId="111" fillId="15" borderId="95" xfId="0" applyNumberFormat="1" applyFont="1" applyFill="1" applyBorder="1" applyAlignment="1" applyProtection="1">
      <alignment horizontal="center"/>
      <protection hidden="1"/>
    </xf>
    <xf numFmtId="0" fontId="111" fillId="15" borderId="64" xfId="0" applyNumberFormat="1" applyFont="1" applyFill="1" applyBorder="1" applyAlignment="1" applyProtection="1">
      <alignment horizontal="center"/>
      <protection hidden="1"/>
    </xf>
    <xf numFmtId="0" fontId="111" fillId="15" borderId="97" xfId="0" applyNumberFormat="1" applyFont="1" applyFill="1" applyBorder="1" applyAlignment="1" applyProtection="1">
      <alignment horizontal="center"/>
      <protection hidden="1"/>
    </xf>
    <xf numFmtId="0" fontId="111" fillId="15" borderId="99" xfId="0" applyNumberFormat="1" applyFont="1" applyFill="1" applyBorder="1" applyAlignment="1" applyProtection="1">
      <alignment horizontal="center"/>
      <protection hidden="1"/>
    </xf>
    <xf numFmtId="10" fontId="113" fillId="15" borderId="99" xfId="4" applyNumberFormat="1" applyFont="1" applyFill="1" applyBorder="1" applyAlignment="1" applyProtection="1">
      <alignment horizontal="center"/>
      <protection hidden="1"/>
    </xf>
    <xf numFmtId="10" fontId="113" fillId="15" borderId="100" xfId="4" applyNumberFormat="1" applyFont="1" applyFill="1" applyBorder="1" applyAlignment="1" applyProtection="1">
      <alignment horizontal="center"/>
      <protection hidden="1"/>
    </xf>
    <xf numFmtId="0" fontId="21" fillId="15" borderId="63" xfId="0" applyNumberFormat="1" applyFont="1" applyFill="1" applyBorder="1" applyProtection="1">
      <protection hidden="1"/>
    </xf>
    <xf numFmtId="177" fontId="58" fillId="15" borderId="65" xfId="0" applyNumberFormat="1" applyFont="1" applyFill="1" applyBorder="1" applyAlignment="1" applyProtection="1">
      <alignment horizontal="center" vertical="center"/>
      <protection hidden="1"/>
    </xf>
    <xf numFmtId="177" fontId="58" fillId="15" borderId="67" xfId="0" applyNumberFormat="1" applyFont="1" applyFill="1" applyBorder="1" applyAlignment="1" applyProtection="1">
      <alignment horizontal="center" vertical="center"/>
      <protection hidden="1"/>
    </xf>
    <xf numFmtId="177" fontId="58" fillId="15" borderId="63" xfId="0" applyNumberFormat="1" applyFont="1" applyFill="1" applyBorder="1" applyAlignment="1" applyProtection="1">
      <alignment horizontal="center" vertical="center"/>
      <protection hidden="1"/>
    </xf>
    <xf numFmtId="177" fontId="58" fillId="15" borderId="69" xfId="0" applyNumberFormat="1" applyFont="1" applyFill="1" applyBorder="1" applyAlignment="1" applyProtection="1">
      <alignment horizontal="center" vertical="center"/>
      <protection hidden="1"/>
    </xf>
    <xf numFmtId="2" fontId="40" fillId="15" borderId="63" xfId="0" applyNumberFormat="1" applyFont="1" applyFill="1" applyBorder="1" applyAlignment="1" applyProtection="1">
      <alignment horizontal="center" vertical="center"/>
      <protection hidden="1"/>
    </xf>
    <xf numFmtId="0" fontId="58" fillId="15" borderId="63" xfId="0" applyNumberFormat="1" applyFont="1" applyFill="1" applyBorder="1" applyAlignment="1" applyProtection="1">
      <alignment horizontal="center" vertical="center"/>
      <protection hidden="1"/>
    </xf>
    <xf numFmtId="2" fontId="58" fillId="15" borderId="63" xfId="0" applyNumberFormat="1" applyFont="1" applyFill="1" applyBorder="1" applyAlignment="1" applyProtection="1">
      <alignment horizontal="center" vertical="center"/>
      <protection hidden="1"/>
    </xf>
    <xf numFmtId="2" fontId="58" fillId="15" borderId="69" xfId="0" applyNumberFormat="1" applyFont="1" applyFill="1" applyBorder="1" applyAlignment="1" applyProtection="1">
      <alignment horizontal="center" vertical="center"/>
      <protection hidden="1"/>
    </xf>
    <xf numFmtId="0" fontId="38" fillId="15" borderId="62" xfId="0" applyFont="1" applyFill="1" applyBorder="1" applyAlignment="1" applyProtection="1">
      <alignment horizontal="center" vertical="center"/>
      <protection hidden="1"/>
    </xf>
    <xf numFmtId="10" fontId="75" fillId="15" borderId="62" xfId="4" applyNumberFormat="1" applyFont="1" applyFill="1" applyBorder="1" applyAlignment="1" applyProtection="1">
      <alignment horizontal="center" vertical="center"/>
      <protection hidden="1"/>
    </xf>
    <xf numFmtId="10" fontId="75" fillId="15" borderId="68" xfId="4" applyNumberFormat="1" applyFont="1" applyFill="1" applyBorder="1" applyAlignment="1" applyProtection="1">
      <alignment horizontal="center" vertical="center"/>
      <protection hidden="1"/>
    </xf>
    <xf numFmtId="0" fontId="21" fillId="15" borderId="101" xfId="0" applyFont="1" applyFill="1" applyBorder="1" applyProtection="1">
      <protection hidden="1"/>
    </xf>
    <xf numFmtId="0" fontId="21" fillId="8" borderId="80" xfId="0" applyFont="1" applyFill="1" applyBorder="1" applyProtection="1">
      <protection hidden="1"/>
    </xf>
    <xf numFmtId="0" fontId="19" fillId="8" borderId="0" xfId="0" applyFont="1" applyFill="1" applyProtection="1">
      <protection hidden="1"/>
    </xf>
    <xf numFmtId="0" fontId="107" fillId="8" borderId="0" xfId="0" applyFont="1" applyFill="1" applyBorder="1" applyProtection="1">
      <protection hidden="1"/>
    </xf>
    <xf numFmtId="0" fontId="109" fillId="8" borderId="0" xfId="0" applyFont="1" applyFill="1" applyBorder="1" applyProtection="1">
      <protection hidden="1"/>
    </xf>
    <xf numFmtId="2" fontId="107" fillId="8" borderId="0" xfId="0" applyNumberFormat="1" applyFont="1" applyFill="1" applyBorder="1" applyProtection="1">
      <protection hidden="1"/>
    </xf>
    <xf numFmtId="0" fontId="107" fillId="8" borderId="0" xfId="0" applyFont="1" applyFill="1" applyBorder="1" applyAlignment="1" applyProtection="1">
      <alignment horizontal="left"/>
      <protection hidden="1"/>
    </xf>
    <xf numFmtId="0" fontId="61" fillId="8" borderId="0" xfId="0" applyFont="1" applyFill="1" applyProtection="1">
      <protection hidden="1"/>
    </xf>
    <xf numFmtId="0" fontId="118" fillId="8" borderId="0" xfId="0" applyFont="1" applyFill="1" applyProtection="1">
      <protection hidden="1"/>
    </xf>
    <xf numFmtId="0" fontId="61" fillId="8" borderId="0" xfId="0" applyFont="1" applyFill="1" applyBorder="1" applyProtection="1">
      <protection hidden="1"/>
    </xf>
    <xf numFmtId="0" fontId="117" fillId="15" borderId="1" xfId="0" applyFont="1" applyFill="1" applyBorder="1" applyProtection="1">
      <protection hidden="1"/>
    </xf>
    <xf numFmtId="0" fontId="61" fillId="15" borderId="2" xfId="0" applyFont="1" applyFill="1" applyBorder="1" applyProtection="1">
      <protection hidden="1"/>
    </xf>
    <xf numFmtId="0" fontId="61" fillId="15" borderId="3" xfId="0" applyFont="1" applyFill="1" applyBorder="1" applyProtection="1">
      <protection hidden="1"/>
    </xf>
    <xf numFmtId="0" fontId="61" fillId="15" borderId="4" xfId="0" applyFont="1" applyFill="1" applyBorder="1" applyProtection="1">
      <protection hidden="1"/>
    </xf>
    <xf numFmtId="0" fontId="61" fillId="15" borderId="0" xfId="0" applyFont="1" applyFill="1" applyBorder="1" applyProtection="1">
      <protection hidden="1"/>
    </xf>
    <xf numFmtId="0" fontId="61" fillId="15" borderId="5" xfId="0" applyFont="1" applyFill="1" applyBorder="1" applyProtection="1">
      <protection hidden="1"/>
    </xf>
    <xf numFmtId="0" fontId="61" fillId="15" borderId="8" xfId="0" applyFont="1" applyFill="1" applyBorder="1" applyProtection="1">
      <protection hidden="1"/>
    </xf>
    <xf numFmtId="0" fontId="61" fillId="15" borderId="14" xfId="0" applyFont="1" applyFill="1" applyBorder="1" applyProtection="1">
      <protection hidden="1"/>
    </xf>
    <xf numFmtId="0" fontId="61" fillId="15" borderId="14" xfId="0" applyFont="1" applyFill="1" applyBorder="1" applyAlignment="1" applyProtection="1">
      <alignment wrapText="1"/>
      <protection hidden="1"/>
    </xf>
    <xf numFmtId="0" fontId="61" fillId="15" borderId="13" xfId="0" applyFont="1" applyFill="1" applyBorder="1" applyProtection="1">
      <protection hidden="1"/>
    </xf>
    <xf numFmtId="0" fontId="61" fillId="15" borderId="7" xfId="0" applyFont="1" applyFill="1" applyBorder="1" applyProtection="1">
      <protection hidden="1"/>
    </xf>
    <xf numFmtId="0" fontId="61" fillId="15" borderId="12" xfId="0" applyFont="1" applyFill="1" applyBorder="1" applyProtection="1">
      <protection hidden="1"/>
    </xf>
    <xf numFmtId="0" fontId="102" fillId="8" borderId="0" xfId="0" applyFont="1" applyFill="1" applyProtection="1">
      <protection hidden="1"/>
    </xf>
    <xf numFmtId="0" fontId="16" fillId="0" borderId="0" xfId="0" applyFont="1" applyProtection="1">
      <protection hidden="1"/>
    </xf>
    <xf numFmtId="0" fontId="116" fillId="6" borderId="0" xfId="0" applyFont="1" applyFill="1" applyBorder="1" applyProtection="1">
      <protection hidden="1"/>
    </xf>
    <xf numFmtId="0" fontId="119" fillId="8" borderId="4" xfId="0" applyFont="1" applyFill="1" applyBorder="1" applyProtection="1">
      <protection hidden="1"/>
    </xf>
    <xf numFmtId="0" fontId="116" fillId="8" borderId="0" xfId="0" applyFont="1" applyFill="1" applyBorder="1" applyProtection="1">
      <protection hidden="1"/>
    </xf>
    <xf numFmtId="0" fontId="116" fillId="8" borderId="4" xfId="0" applyFont="1" applyFill="1" applyBorder="1" applyProtection="1">
      <protection hidden="1"/>
    </xf>
    <xf numFmtId="0" fontId="116" fillId="8" borderId="0" xfId="0" applyFont="1" applyFill="1" applyBorder="1" applyAlignment="1" applyProtection="1">
      <alignment horizontal="center"/>
      <protection hidden="1"/>
    </xf>
    <xf numFmtId="0" fontId="121" fillId="8" borderId="0" xfId="0" applyFont="1" applyFill="1" applyBorder="1" applyProtection="1">
      <protection hidden="1"/>
    </xf>
    <xf numFmtId="0" fontId="119" fillId="8" borderId="0" xfId="0" applyFont="1" applyFill="1" applyBorder="1" applyProtection="1">
      <protection hidden="1"/>
    </xf>
    <xf numFmtId="0" fontId="124" fillId="8" borderId="4" xfId="0" applyFont="1" applyFill="1" applyBorder="1" applyProtection="1">
      <protection hidden="1"/>
    </xf>
    <xf numFmtId="0" fontId="124" fillId="8" borderId="0" xfId="0" applyFont="1" applyFill="1" applyBorder="1" applyProtection="1">
      <protection hidden="1"/>
    </xf>
    <xf numFmtId="0" fontId="125" fillId="8" borderId="0" xfId="0" applyFont="1" applyFill="1" applyBorder="1" applyProtection="1">
      <protection hidden="1"/>
    </xf>
    <xf numFmtId="0" fontId="126" fillId="8" borderId="0" xfId="0" applyFont="1" applyFill="1" applyBorder="1" applyProtection="1">
      <protection hidden="1"/>
    </xf>
    <xf numFmtId="0" fontId="120" fillId="6" borderId="0" xfId="0" applyFont="1" applyFill="1" applyBorder="1" applyProtection="1">
      <protection hidden="1"/>
    </xf>
    <xf numFmtId="0" fontId="122" fillId="6" borderId="0" xfId="0" applyFont="1" applyFill="1" applyBorder="1" applyProtection="1">
      <protection hidden="1"/>
    </xf>
    <xf numFmtId="0" fontId="123" fillId="6" borderId="0" xfId="0" applyFont="1" applyFill="1" applyBorder="1" applyProtection="1">
      <protection hidden="1"/>
    </xf>
    <xf numFmtId="0" fontId="124" fillId="6" borderId="0" xfId="0" applyFont="1" applyFill="1" applyBorder="1" applyProtection="1">
      <protection hidden="1"/>
    </xf>
    <xf numFmtId="0" fontId="125" fillId="6" borderId="0" xfId="0" applyFont="1" applyFill="1" applyBorder="1" applyProtection="1">
      <protection hidden="1"/>
    </xf>
    <xf numFmtId="0" fontId="126" fillId="6" borderId="0" xfId="0" applyFont="1" applyFill="1" applyBorder="1" applyProtection="1">
      <protection hidden="1"/>
    </xf>
    <xf numFmtId="0" fontId="120" fillId="8" borderId="0" xfId="0" applyFont="1" applyFill="1" applyBorder="1" applyProtection="1">
      <protection hidden="1"/>
    </xf>
    <xf numFmtId="0" fontId="61" fillId="15" borderId="24" xfId="0" applyFont="1" applyFill="1" applyBorder="1" applyProtection="1">
      <protection hidden="1"/>
    </xf>
    <xf numFmtId="0" fontId="118" fillId="8" borderId="0" xfId="0" applyFont="1" applyFill="1" applyBorder="1" applyProtection="1">
      <protection hidden="1"/>
    </xf>
    <xf numFmtId="10" fontId="46" fillId="8" borderId="0" xfId="0" applyNumberFormat="1" applyFont="1" applyFill="1" applyBorder="1" applyAlignment="1" applyProtection="1">
      <alignment horizontal="center"/>
      <protection hidden="1"/>
    </xf>
    <xf numFmtId="2" fontId="86" fillId="8" borderId="0" xfId="0" applyNumberFormat="1" applyFont="1" applyFill="1" applyBorder="1" applyAlignment="1" applyProtection="1">
      <alignment horizontal="center"/>
      <protection hidden="1"/>
    </xf>
    <xf numFmtId="0" fontId="86" fillId="8" borderId="0" xfId="0" applyFont="1" applyFill="1" applyBorder="1" applyProtection="1">
      <protection hidden="1"/>
    </xf>
    <xf numFmtId="0" fontId="84" fillId="8" borderId="0" xfId="0" applyFont="1" applyFill="1" applyBorder="1" applyProtection="1">
      <protection hidden="1"/>
    </xf>
    <xf numFmtId="2" fontId="28" fillId="8" borderId="0" xfId="0" applyNumberFormat="1" applyFont="1" applyFill="1" applyBorder="1" applyAlignment="1" applyProtection="1">
      <alignment horizontal="left"/>
      <protection hidden="1"/>
    </xf>
    <xf numFmtId="168" fontId="46" fillId="8" borderId="0" xfId="0" applyNumberFormat="1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vertical="center"/>
      <protection hidden="1"/>
    </xf>
    <xf numFmtId="170" fontId="27" fillId="22" borderId="14" xfId="0" applyNumberFormat="1" applyFont="1" applyFill="1" applyBorder="1" applyAlignment="1" applyProtection="1">
      <alignment horizontal="center"/>
      <protection hidden="1"/>
    </xf>
    <xf numFmtId="171" fontId="28" fillId="7" borderId="15" xfId="0" applyNumberFormat="1" applyFont="1" applyFill="1" applyBorder="1" applyAlignment="1" applyProtection="1">
      <alignment horizontal="right" indent="1"/>
      <protection hidden="1"/>
    </xf>
    <xf numFmtId="168" fontId="27" fillId="0" borderId="2" xfId="0" applyNumberFormat="1" applyFont="1" applyFill="1" applyBorder="1" applyAlignment="1" applyProtection="1">
      <alignment horizontal="center"/>
      <protection hidden="1"/>
    </xf>
    <xf numFmtId="170" fontId="38" fillId="6" borderId="0" xfId="0" applyNumberFormat="1" applyFont="1" applyFill="1" applyBorder="1" applyAlignment="1" applyProtection="1">
      <alignment horizontal="center"/>
      <protection hidden="1"/>
    </xf>
    <xf numFmtId="0" fontId="85" fillId="8" borderId="0" xfId="0" applyFont="1" applyFill="1"/>
    <xf numFmtId="0" fontId="115" fillId="8" borderId="0" xfId="0" applyFont="1" applyFill="1"/>
    <xf numFmtId="0" fontId="129" fillId="8" borderId="0" xfId="0" applyFont="1" applyFill="1"/>
    <xf numFmtId="165" fontId="21" fillId="3" borderId="14" xfId="0" applyNumberFormat="1" applyFont="1" applyFill="1" applyBorder="1" applyAlignment="1" applyProtection="1">
      <alignment horizontal="center"/>
      <protection locked="0"/>
    </xf>
    <xf numFmtId="0" fontId="29" fillId="0" borderId="0" xfId="0" applyFont="1" applyBorder="1" applyAlignment="1" applyProtection="1">
      <alignment horizontal="right"/>
      <protection hidden="1"/>
    </xf>
    <xf numFmtId="0" fontId="29" fillId="0" borderId="0" xfId="0" applyFont="1" applyBorder="1" applyProtection="1">
      <protection hidden="1"/>
    </xf>
    <xf numFmtId="0" fontId="0" fillId="2" borderId="0" xfId="0" applyFont="1" applyFill="1" applyBorder="1" applyProtection="1">
      <protection hidden="1"/>
    </xf>
    <xf numFmtId="0" fontId="15" fillId="0" borderId="7" xfId="0" applyFont="1" applyBorder="1" applyAlignment="1" applyProtection="1">
      <alignment vertical="center"/>
      <protection hidden="1"/>
    </xf>
    <xf numFmtId="165" fontId="21" fillId="6" borderId="7" xfId="0" applyNumberFormat="1" applyFont="1" applyFill="1" applyBorder="1" applyAlignment="1" applyProtection="1">
      <alignment horizontal="center"/>
      <protection locked="0"/>
    </xf>
    <xf numFmtId="0" fontId="129" fillId="8" borderId="0" xfId="0" applyFont="1" applyFill="1" applyAlignment="1" applyProtection="1">
      <alignment vertical="center"/>
      <protection hidden="1"/>
    </xf>
    <xf numFmtId="14" fontId="129" fillId="8" borderId="0" xfId="0" applyNumberFormat="1" applyFont="1" applyFill="1" applyAlignment="1">
      <alignment horizontal="left"/>
    </xf>
    <xf numFmtId="0" fontId="129" fillId="8" borderId="4" xfId="0" applyFont="1" applyFill="1" applyBorder="1" applyProtection="1">
      <protection hidden="1"/>
    </xf>
    <xf numFmtId="0" fontId="71" fillId="8" borderId="0" xfId="0" applyFont="1" applyFill="1" applyAlignment="1"/>
    <xf numFmtId="0" fontId="71" fillId="8" borderId="0" xfId="0" applyFont="1" applyFill="1" applyAlignment="1">
      <alignment vertical="center"/>
    </xf>
    <xf numFmtId="0" fontId="71" fillId="8" borderId="0" xfId="0" applyFont="1" applyFill="1"/>
    <xf numFmtId="0" fontId="82" fillId="8" borderId="0" xfId="0" applyFont="1" applyFill="1" applyAlignment="1">
      <alignment horizontal="left" vertical="top"/>
    </xf>
    <xf numFmtId="14" fontId="84" fillId="8" borderId="0" xfId="0" applyNumberFormat="1" applyFont="1" applyFill="1"/>
    <xf numFmtId="0" fontId="129" fillId="8" borderId="0" xfId="0" applyFont="1" applyFill="1" applyBorder="1" applyProtection="1">
      <protection hidden="1"/>
    </xf>
    <xf numFmtId="180" fontId="21" fillId="22" borderId="9" xfId="0" applyNumberFormat="1" applyFont="1" applyFill="1" applyBorder="1" applyAlignment="1" applyProtection="1">
      <alignment horizontal="center"/>
    </xf>
    <xf numFmtId="165" fontId="21" fillId="22" borderId="9" xfId="0" applyNumberFormat="1" applyFont="1" applyFill="1" applyBorder="1" applyAlignment="1" applyProtection="1">
      <alignment horizontal="center"/>
    </xf>
    <xf numFmtId="14" fontId="131" fillId="8" borderId="0" xfId="0" applyNumberFormat="1" applyFont="1" applyFill="1" applyBorder="1" applyProtection="1">
      <protection hidden="1"/>
    </xf>
    <xf numFmtId="168" fontId="21" fillId="24" borderId="13" xfId="0" applyNumberFormat="1" applyFont="1" applyFill="1" applyBorder="1" applyAlignment="1" applyProtection="1">
      <alignment horizontal="center"/>
      <protection locked="0"/>
    </xf>
    <xf numFmtId="180" fontId="21" fillId="22" borderId="9" xfId="0" applyNumberFormat="1" applyFont="1" applyFill="1" applyBorder="1" applyAlignment="1" applyProtection="1">
      <alignment horizontal="center" wrapText="1"/>
    </xf>
    <xf numFmtId="165" fontId="27" fillId="22" borderId="9" xfId="0" applyNumberFormat="1" applyFont="1" applyFill="1" applyBorder="1" applyAlignment="1" applyProtection="1">
      <alignment horizontal="center"/>
    </xf>
    <xf numFmtId="180" fontId="27" fillId="22" borderId="15" xfId="0" applyNumberFormat="1" applyFont="1" applyFill="1" applyBorder="1" applyAlignment="1" applyProtection="1">
      <alignment horizontal="center"/>
    </xf>
    <xf numFmtId="9" fontId="21" fillId="8" borderId="0" xfId="4" applyFont="1" applyFill="1"/>
    <xf numFmtId="1" fontId="21" fillId="8" borderId="0" xfId="4" applyNumberFormat="1" applyFont="1" applyFill="1"/>
    <xf numFmtId="9" fontId="106" fillId="8" borderId="0" xfId="4" applyFont="1" applyFill="1"/>
    <xf numFmtId="49" fontId="21" fillId="16" borderId="57" xfId="0" applyNumberFormat="1" applyFont="1" applyFill="1" applyBorder="1" applyAlignment="1" applyProtection="1">
      <alignment horizontal="center"/>
      <protection locked="0"/>
    </xf>
    <xf numFmtId="49" fontId="14" fillId="16" borderId="57" xfId="0" applyNumberFormat="1" applyFont="1" applyFill="1" applyBorder="1" applyAlignment="1" applyProtection="1">
      <alignment horizontal="center"/>
      <protection locked="0"/>
    </xf>
    <xf numFmtId="49" fontId="14" fillId="16" borderId="60" xfId="0" applyNumberFormat="1" applyFont="1" applyFill="1" applyBorder="1" applyAlignment="1" applyProtection="1">
      <alignment horizontal="center"/>
      <protection locked="0"/>
    </xf>
    <xf numFmtId="10" fontId="27" fillId="0" borderId="9" xfId="0" applyNumberFormat="1" applyFont="1" applyBorder="1" applyAlignment="1" applyProtection="1">
      <alignment horizontal="center"/>
    </xf>
    <xf numFmtId="1" fontId="14" fillId="0" borderId="18" xfId="0" applyNumberFormat="1" applyFont="1" applyBorder="1" applyAlignment="1" applyProtection="1">
      <alignment horizontal="left"/>
      <protection hidden="1"/>
    </xf>
    <xf numFmtId="0" fontId="132" fillId="8" borderId="0" xfId="0" applyFont="1" applyFill="1"/>
    <xf numFmtId="0" fontId="33" fillId="0" borderId="0" xfId="0" applyFont="1" applyFill="1" applyBorder="1" applyAlignment="1" applyProtection="1">
      <alignment horizontal="left"/>
    </xf>
    <xf numFmtId="0" fontId="30" fillId="6" borderId="0" xfId="0" applyFont="1" applyFill="1" applyBorder="1" applyProtection="1">
      <protection hidden="1"/>
    </xf>
    <xf numFmtId="14" fontId="26" fillId="8" borderId="0" xfId="0" applyNumberFormat="1" applyFont="1" applyFill="1"/>
    <xf numFmtId="4" fontId="13" fillId="0" borderId="24" xfId="0" applyNumberFormat="1" applyFont="1" applyBorder="1" applyAlignment="1" applyProtection="1">
      <alignment horizontal="center"/>
    </xf>
    <xf numFmtId="1" fontId="21" fillId="16" borderId="8" xfId="0" applyNumberFormat="1" applyFont="1" applyFill="1" applyBorder="1" applyAlignment="1" applyProtection="1">
      <alignment horizontal="center"/>
      <protection locked="0"/>
    </xf>
    <xf numFmtId="1" fontId="21" fillId="16" borderId="13" xfId="0" applyNumberFormat="1" applyFont="1" applyFill="1" applyBorder="1" applyAlignment="1" applyProtection="1">
      <alignment horizontal="center"/>
      <protection locked="0"/>
    </xf>
    <xf numFmtId="1" fontId="21" fillId="16" borderId="14" xfId="0" applyNumberFormat="1" applyFont="1" applyFill="1" applyBorder="1" applyAlignment="1" applyProtection="1">
      <alignment horizontal="center"/>
      <protection locked="0"/>
    </xf>
    <xf numFmtId="1" fontId="21" fillId="16" borderId="23" xfId="0" applyNumberFormat="1" applyFont="1" applyFill="1" applyBorder="1" applyAlignment="1" applyProtection="1">
      <alignment horizontal="center"/>
      <protection locked="0"/>
    </xf>
    <xf numFmtId="180" fontId="13" fillId="22" borderId="9" xfId="0" applyNumberFormat="1" applyFont="1" applyFill="1" applyBorder="1" applyAlignment="1" applyProtection="1">
      <alignment horizontal="center"/>
    </xf>
    <xf numFmtId="0" fontId="133" fillId="25" borderId="0" xfId="19" applyFill="1" applyAlignment="1" applyProtection="1">
      <alignment vertical="center" wrapText="1"/>
    </xf>
    <xf numFmtId="0" fontId="28" fillId="0" borderId="14" xfId="19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vertical="center"/>
      <protection hidden="1"/>
    </xf>
    <xf numFmtId="0" fontId="66" fillId="0" borderId="0" xfId="0" applyNumberFormat="1" applyFont="1" applyBorder="1" applyAlignment="1" applyProtection="1">
      <alignment horizontal="center"/>
      <protection hidden="1"/>
    </xf>
    <xf numFmtId="0" fontId="38" fillId="0" borderId="0" xfId="0" applyFont="1" applyBorder="1" applyAlignment="1" applyProtection="1">
      <alignment horizontal="center"/>
      <protection hidden="1"/>
    </xf>
    <xf numFmtId="2" fontId="38" fillId="6" borderId="0" xfId="0" applyNumberFormat="1" applyFont="1" applyFill="1" applyBorder="1" applyProtection="1">
      <protection hidden="1"/>
    </xf>
    <xf numFmtId="0" fontId="77" fillId="0" borderId="0" xfId="0" applyFont="1" applyBorder="1" applyProtection="1">
      <protection hidden="1"/>
    </xf>
    <xf numFmtId="0" fontId="21" fillId="6" borderId="4" xfId="0" applyFont="1" applyFill="1" applyBorder="1" applyProtection="1">
      <protection hidden="1"/>
    </xf>
    <xf numFmtId="0" fontId="137" fillId="8" borderId="0" xfId="0" applyFont="1" applyFill="1" applyProtection="1"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26" fillId="2" borderId="6" xfId="0" applyFont="1" applyFill="1" applyBorder="1" applyAlignment="1" applyProtection="1">
      <protection hidden="1"/>
    </xf>
    <xf numFmtId="0" fontId="26" fillId="2" borderId="7" xfId="0" applyFont="1" applyFill="1" applyBorder="1" applyAlignment="1" applyProtection="1">
      <protection hidden="1"/>
    </xf>
    <xf numFmtId="0" fontId="26" fillId="2" borderId="8" xfId="0" applyFont="1" applyFill="1" applyBorder="1" applyAlignment="1" applyProtection="1">
      <protection hidden="1"/>
    </xf>
    <xf numFmtId="0" fontId="137" fillId="8" borderId="0" xfId="0" applyFont="1" applyFill="1"/>
    <xf numFmtId="0" fontId="26" fillId="2" borderId="7" xfId="0" applyFont="1" applyFill="1" applyBorder="1" applyAlignment="1" applyProtection="1">
      <alignment horizontal="right"/>
      <protection hidden="1"/>
    </xf>
    <xf numFmtId="14" fontId="26" fillId="2" borderId="7" xfId="0" applyNumberFormat="1" applyFont="1" applyFill="1" applyBorder="1" applyAlignment="1" applyProtection="1">
      <protection hidden="1"/>
    </xf>
    <xf numFmtId="0" fontId="25" fillId="2" borderId="7" xfId="0" applyFont="1" applyFill="1" applyBorder="1" applyAlignment="1" applyProtection="1">
      <protection hidden="1"/>
    </xf>
    <xf numFmtId="0" fontId="136" fillId="8" borderId="0" xfId="0" applyFont="1" applyFill="1" applyProtection="1">
      <protection hidden="1"/>
    </xf>
    <xf numFmtId="0" fontId="26" fillId="2" borderId="7" xfId="0" applyFont="1" applyFill="1" applyBorder="1" applyAlignment="1" applyProtection="1">
      <alignment horizontal="left"/>
      <protection hidden="1"/>
    </xf>
    <xf numFmtId="0" fontId="136" fillId="8" borderId="0" xfId="0" applyFont="1" applyFill="1"/>
    <xf numFmtId="14" fontId="136" fillId="8" borderId="0" xfId="0" applyNumberFormat="1" applyFont="1" applyFill="1"/>
    <xf numFmtId="0" fontId="21" fillId="15" borderId="0" xfId="0" applyFont="1" applyFill="1"/>
    <xf numFmtId="0" fontId="21" fillId="15" borderId="23" xfId="0" applyFont="1" applyFill="1" applyBorder="1"/>
    <xf numFmtId="0" fontId="21" fillId="15" borderId="19" xfId="0" applyFont="1" applyFill="1" applyBorder="1"/>
    <xf numFmtId="0" fontId="21" fillId="15" borderId="24" xfId="0" applyFont="1" applyFill="1" applyBorder="1"/>
    <xf numFmtId="14" fontId="26" fillId="2" borderId="7" xfId="0" applyNumberFormat="1" applyFont="1" applyFill="1" applyBorder="1" applyAlignment="1" applyProtection="1">
      <alignment horizontal="left"/>
      <protection hidden="1"/>
    </xf>
    <xf numFmtId="14" fontId="33" fillId="12" borderId="80" xfId="0" applyNumberFormat="1" applyFont="1" applyFill="1" applyBorder="1" applyAlignment="1" applyProtection="1">
      <alignment horizontal="left" vertical="center"/>
    </xf>
    <xf numFmtId="14" fontId="137" fillId="8" borderId="0" xfId="0" applyNumberFormat="1" applyFont="1" applyFill="1" applyAlignment="1">
      <alignment horizontal="left"/>
    </xf>
    <xf numFmtId="14" fontId="137" fillId="8" borderId="0" xfId="0" applyNumberFormat="1" applyFont="1" applyFill="1" applyAlignment="1"/>
    <xf numFmtId="0" fontId="137" fillId="8" borderId="0" xfId="0" applyFont="1" applyFill="1" applyBorder="1" applyProtection="1">
      <protection hidden="1"/>
    </xf>
    <xf numFmtId="14" fontId="137" fillId="8" borderId="0" xfId="0" applyNumberFormat="1" applyFont="1" applyFill="1" applyBorder="1" applyProtection="1">
      <protection hidden="1"/>
    </xf>
    <xf numFmtId="2" fontId="136" fillId="8" borderId="0" xfId="0" applyNumberFormat="1" applyFont="1" applyFill="1" applyBorder="1" applyAlignment="1" applyProtection="1">
      <alignment horizontal="left"/>
      <protection hidden="1"/>
    </xf>
    <xf numFmtId="0" fontId="26" fillId="2" borderId="4" xfId="0" applyFont="1" applyFill="1" applyBorder="1" applyAlignment="1" applyProtection="1">
      <protection hidden="1"/>
    </xf>
    <xf numFmtId="0" fontId="26" fillId="2" borderId="0" xfId="0" applyFont="1" applyFill="1" applyBorder="1" applyAlignment="1" applyProtection="1">
      <protection hidden="1"/>
    </xf>
    <xf numFmtId="0" fontId="26" fillId="2" borderId="5" xfId="0" applyFont="1" applyFill="1" applyBorder="1" applyAlignment="1" applyProtection="1"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14" fontId="26" fillId="2" borderId="0" xfId="0" applyNumberFormat="1" applyFont="1" applyFill="1" applyBorder="1" applyAlignment="1" applyProtection="1">
      <alignment horizontal="left"/>
      <protection hidden="1"/>
    </xf>
    <xf numFmtId="0" fontId="26" fillId="2" borderId="0" xfId="0" applyFont="1" applyFill="1" applyBorder="1" applyAlignment="1" applyProtection="1">
      <alignment horizontal="right"/>
      <protection hidden="1"/>
    </xf>
    <xf numFmtId="14" fontId="137" fillId="8" borderId="0" xfId="0" applyNumberFormat="1" applyFont="1" applyFill="1" applyAlignment="1" applyProtection="1">
      <alignment horizontal="left"/>
      <protection hidden="1"/>
    </xf>
    <xf numFmtId="0" fontId="31" fillId="8" borderId="0" xfId="0" applyFont="1" applyFill="1"/>
    <xf numFmtId="0" fontId="70" fillId="8" borderId="0" xfId="0" applyFont="1" applyFill="1"/>
    <xf numFmtId="0" fontId="68" fillId="8" borderId="0" xfId="0" applyFont="1" applyFill="1"/>
    <xf numFmtId="0" fontId="26" fillId="8" borderId="0" xfId="0" applyFont="1" applyFill="1"/>
    <xf numFmtId="0" fontId="67" fillId="2" borderId="4" xfId="0" applyFont="1" applyFill="1" applyBorder="1" applyAlignment="1"/>
    <xf numFmtId="0" fontId="67" fillId="2" borderId="0" xfId="0" applyFont="1" applyFill="1" applyBorder="1" applyAlignment="1"/>
    <xf numFmtId="0" fontId="0" fillId="2" borderId="0" xfId="0" applyFont="1" applyFill="1" applyBorder="1" applyAlignment="1"/>
    <xf numFmtId="0" fontId="67" fillId="2" borderId="5" xfId="0" applyFont="1" applyFill="1" applyBorder="1" applyAlignment="1"/>
    <xf numFmtId="0" fontId="0" fillId="2" borderId="0" xfId="0" applyFont="1" applyFill="1" applyBorder="1" applyAlignment="1">
      <alignment horizontal="right"/>
    </xf>
    <xf numFmtId="14" fontId="0" fillId="2" borderId="0" xfId="0" applyNumberFormat="1" applyFont="1" applyFill="1" applyBorder="1" applyAlignment="1">
      <alignment horizontal="left"/>
    </xf>
    <xf numFmtId="0" fontId="33" fillId="12" borderId="80" xfId="0" applyFont="1" applyFill="1" applyBorder="1" applyAlignment="1" applyProtection="1">
      <alignment horizontal="left" vertical="top"/>
    </xf>
    <xf numFmtId="0" fontId="28" fillId="12" borderId="80" xfId="0" applyFont="1" applyFill="1" applyBorder="1" applyAlignment="1" applyProtection="1">
      <alignment horizontal="left" vertical="top"/>
    </xf>
    <xf numFmtId="180" fontId="21" fillId="6" borderId="9" xfId="0" applyNumberFormat="1" applyFont="1" applyFill="1" applyBorder="1" applyAlignment="1" applyProtection="1">
      <alignment horizontal="center"/>
    </xf>
    <xf numFmtId="180" fontId="13" fillId="6" borderId="9" xfId="0" applyNumberFormat="1" applyFont="1" applyFill="1" applyBorder="1" applyAlignment="1" applyProtection="1">
      <alignment horizontal="center"/>
    </xf>
    <xf numFmtId="4" fontId="21" fillId="16" borderId="8" xfId="0" applyNumberFormat="1" applyFont="1" applyFill="1" applyBorder="1" applyAlignment="1" applyProtection="1">
      <alignment horizontal="center"/>
      <protection locked="0"/>
    </xf>
    <xf numFmtId="4" fontId="21" fillId="6" borderId="24" xfId="0" applyNumberFormat="1" applyFont="1" applyFill="1" applyBorder="1" applyAlignment="1" applyProtection="1">
      <alignment horizontal="center"/>
    </xf>
    <xf numFmtId="4" fontId="21" fillId="6" borderId="14" xfId="0" applyNumberFormat="1" applyFont="1" applyFill="1" applyBorder="1" applyAlignment="1" applyProtection="1">
      <alignment horizontal="center"/>
    </xf>
    <xf numFmtId="4" fontId="21" fillId="16" borderId="13" xfId="0" applyNumberFormat="1" applyFont="1" applyFill="1" applyBorder="1" applyAlignment="1" applyProtection="1">
      <alignment horizontal="center"/>
      <protection locked="0"/>
    </xf>
    <xf numFmtId="49" fontId="11" fillId="16" borderId="57" xfId="0" applyNumberFormat="1" applyFont="1" applyFill="1" applyBorder="1" applyAlignment="1" applyProtection="1">
      <alignment horizontal="center"/>
      <protection locked="0"/>
    </xf>
    <xf numFmtId="16" fontId="33" fillId="2" borderId="0" xfId="0" applyNumberFormat="1" applyFont="1" applyFill="1" applyBorder="1" applyAlignment="1" applyProtection="1">
      <alignment horizontal="right"/>
      <protection hidden="1"/>
    </xf>
    <xf numFmtId="0" fontId="136" fillId="8" borderId="0" xfId="0" applyFont="1" applyFill="1" applyBorder="1" applyAlignment="1" applyProtection="1">
      <alignment vertical="center"/>
      <protection hidden="1"/>
    </xf>
    <xf numFmtId="0" fontId="34" fillId="13" borderId="19" xfId="0" applyFont="1" applyFill="1" applyBorder="1" applyAlignment="1" applyProtection="1">
      <alignment horizontal="center" wrapText="1"/>
    </xf>
    <xf numFmtId="0" fontId="28" fillId="0" borderId="0" xfId="0" applyFont="1" applyBorder="1" applyAlignment="1">
      <alignment horizontal="left"/>
    </xf>
    <xf numFmtId="14" fontId="136" fillId="8" borderId="0" xfId="0" applyNumberFormat="1" applyFont="1" applyFill="1" applyProtection="1">
      <protection hidden="1"/>
    </xf>
    <xf numFmtId="0" fontId="137" fillId="8" borderId="4" xfId="0" applyFont="1" applyFill="1" applyBorder="1" applyProtection="1">
      <protection hidden="1"/>
    </xf>
    <xf numFmtId="0" fontId="32" fillId="6" borderId="7" xfId="0" applyFont="1" applyFill="1" applyBorder="1" applyProtection="1">
      <protection hidden="1"/>
    </xf>
    <xf numFmtId="14" fontId="139" fillId="8" borderId="0" xfId="0" applyNumberFormat="1" applyFont="1" applyFill="1"/>
    <xf numFmtId="14" fontId="139" fillId="8" borderId="0" xfId="0" applyNumberFormat="1" applyFont="1" applyFill="1" applyBorder="1" applyProtection="1">
      <protection hidden="1"/>
    </xf>
    <xf numFmtId="0" fontId="139" fillId="8" borderId="0" xfId="0" applyFont="1" applyFill="1" applyProtection="1">
      <protection hidden="1"/>
    </xf>
    <xf numFmtId="14" fontId="139" fillId="8" borderId="0" xfId="0" applyNumberFormat="1" applyFont="1" applyFill="1" applyAlignment="1" applyProtection="1">
      <alignment horizontal="left"/>
      <protection hidden="1"/>
    </xf>
    <xf numFmtId="0" fontId="140" fillId="8" borderId="0" xfId="0" applyFont="1" applyFill="1" applyProtection="1">
      <protection hidden="1"/>
    </xf>
    <xf numFmtId="0" fontId="141" fillId="8" borderId="0" xfId="0" applyFont="1" applyFill="1"/>
    <xf numFmtId="0" fontId="27" fillId="0" borderId="75" xfId="0" applyFont="1" applyBorder="1" applyAlignment="1" applyProtection="1">
      <alignment horizontal="right"/>
    </xf>
    <xf numFmtId="0" fontId="21" fillId="0" borderId="80" xfId="0" applyFont="1" applyBorder="1" applyProtection="1"/>
    <xf numFmtId="0" fontId="21" fillId="0" borderId="81" xfId="0" applyFont="1" applyBorder="1" applyProtection="1"/>
    <xf numFmtId="0" fontId="27" fillId="0" borderId="75" xfId="0" applyFont="1" applyBorder="1" applyAlignment="1" applyProtection="1">
      <alignment horizontal="center"/>
    </xf>
    <xf numFmtId="0" fontId="54" fillId="0" borderId="76" xfId="0" applyFont="1" applyBorder="1" applyAlignment="1" applyProtection="1">
      <alignment vertical="center"/>
    </xf>
    <xf numFmtId="0" fontId="69" fillId="0" borderId="75" xfId="0" applyFont="1" applyBorder="1" applyAlignment="1" applyProtection="1">
      <alignment vertical="center"/>
    </xf>
    <xf numFmtId="0" fontId="21" fillId="0" borderId="77" xfId="0" applyFont="1" applyBorder="1" applyProtection="1"/>
    <xf numFmtId="0" fontId="69" fillId="0" borderId="0" xfId="0" applyFont="1" applyBorder="1" applyAlignment="1" applyProtection="1">
      <alignment vertical="center"/>
    </xf>
    <xf numFmtId="0" fontId="21" fillId="0" borderId="52" xfId="0" applyFont="1" applyBorder="1" applyProtection="1"/>
    <xf numFmtId="0" fontId="28" fillId="12" borderId="79" xfId="0" applyFont="1" applyFill="1" applyBorder="1" applyAlignment="1" applyProtection="1">
      <alignment horizontal="left" vertical="center"/>
    </xf>
    <xf numFmtId="44" fontId="89" fillId="21" borderId="104" xfId="3" applyFont="1" applyFill="1" applyBorder="1" applyAlignment="1" applyProtection="1">
      <alignment vertical="top"/>
    </xf>
    <xf numFmtId="0" fontId="21" fillId="21" borderId="105" xfId="0" applyFont="1" applyFill="1" applyBorder="1" applyProtection="1"/>
    <xf numFmtId="4" fontId="21" fillId="0" borderId="56" xfId="0" applyNumberFormat="1" applyFont="1" applyBorder="1" applyAlignment="1" applyProtection="1">
      <alignment horizontal="center"/>
    </xf>
    <xf numFmtId="0" fontId="14" fillId="7" borderId="57" xfId="0" applyNumberFormat="1" applyFont="1" applyFill="1" applyBorder="1" applyAlignment="1" applyProtection="1">
      <alignment horizontal="center"/>
      <protection locked="0"/>
    </xf>
    <xf numFmtId="0" fontId="21" fillId="0" borderId="53" xfId="0" applyNumberFormat="1" applyFont="1" applyBorder="1" applyProtection="1"/>
    <xf numFmtId="10" fontId="21" fillId="0" borderId="77" xfId="0" applyNumberFormat="1" applyFont="1" applyBorder="1" applyAlignment="1" applyProtection="1">
      <alignment horizontal="center"/>
    </xf>
    <xf numFmtId="0" fontId="108" fillId="0" borderId="0" xfId="0" applyFont="1" applyBorder="1" applyProtection="1"/>
    <xf numFmtId="0" fontId="40" fillId="0" borderId="0" xfId="0" applyFont="1" applyBorder="1" applyProtection="1"/>
    <xf numFmtId="0" fontId="40" fillId="0" borderId="52" xfId="0" applyFont="1" applyBorder="1" applyProtection="1"/>
    <xf numFmtId="4" fontId="21" fillId="0" borderId="58" xfId="0" applyNumberFormat="1" applyFont="1" applyBorder="1" applyAlignment="1" applyProtection="1">
      <alignment horizontal="center"/>
    </xf>
    <xf numFmtId="4" fontId="21" fillId="0" borderId="90" xfId="0" applyNumberFormat="1" applyFont="1" applyBorder="1" applyAlignment="1" applyProtection="1">
      <alignment horizontal="center"/>
    </xf>
    <xf numFmtId="0" fontId="27" fillId="6" borderId="53" xfId="0" applyNumberFormat="1" applyFont="1" applyFill="1" applyBorder="1" applyProtection="1"/>
    <xf numFmtId="10" fontId="27" fillId="0" borderId="77" xfId="4" applyNumberFormat="1" applyFont="1" applyBorder="1" applyAlignment="1" applyProtection="1">
      <alignment horizontal="center"/>
    </xf>
    <xf numFmtId="2" fontId="21" fillId="0" borderId="77" xfId="0" applyNumberFormat="1" applyFont="1" applyBorder="1" applyProtection="1"/>
    <xf numFmtId="10" fontId="21" fillId="0" borderId="77" xfId="4" applyNumberFormat="1" applyFont="1" applyBorder="1" applyAlignment="1" applyProtection="1">
      <alignment horizontal="center"/>
    </xf>
    <xf numFmtId="180" fontId="13" fillId="22" borderId="15" xfId="0" applyNumberFormat="1" applyFont="1" applyFill="1" applyBorder="1" applyAlignment="1" applyProtection="1">
      <alignment horizontal="center"/>
    </xf>
    <xf numFmtId="9" fontId="38" fillId="8" borderId="0" xfId="4" applyFont="1" applyFill="1"/>
    <xf numFmtId="0" fontId="27" fillId="6" borderId="0" xfId="0" applyFont="1" applyFill="1" applyBorder="1" applyAlignment="1" applyProtection="1">
      <alignment vertical="center"/>
      <protection hidden="1"/>
    </xf>
    <xf numFmtId="0" fontId="21" fillId="6" borderId="0" xfId="0" applyFont="1" applyFill="1" applyBorder="1"/>
    <xf numFmtId="165" fontId="21" fillId="6" borderId="0" xfId="0" applyNumberFormat="1" applyFont="1" applyFill="1" applyBorder="1" applyProtection="1">
      <protection locked="0"/>
    </xf>
    <xf numFmtId="0" fontId="21" fillId="6" borderId="0" xfId="0" quotePrefix="1" applyFont="1" applyFill="1" applyBorder="1" applyAlignment="1" applyProtection="1">
      <alignment horizontal="left"/>
      <protection hidden="1"/>
    </xf>
    <xf numFmtId="0" fontId="27" fillId="0" borderId="53" xfId="0" applyNumberFormat="1" applyFont="1" applyBorder="1" applyProtection="1"/>
    <xf numFmtId="0" fontId="27" fillId="0" borderId="34" xfId="0" applyNumberFormat="1" applyFont="1" applyFill="1" applyBorder="1" applyAlignment="1" applyProtection="1">
      <alignment horizontal="left"/>
      <protection locked="0"/>
    </xf>
    <xf numFmtId="0" fontId="27" fillId="0" borderId="9" xfId="0" applyNumberFormat="1" applyFont="1" applyFill="1" applyBorder="1" applyAlignment="1" applyProtection="1">
      <alignment horizontal="left"/>
    </xf>
    <xf numFmtId="0" fontId="27" fillId="6" borderId="76" xfId="0" applyFont="1" applyFill="1" applyBorder="1" applyProtection="1"/>
    <xf numFmtId="0" fontId="27" fillId="0" borderId="53" xfId="0" applyFont="1" applyBorder="1" applyProtection="1"/>
    <xf numFmtId="4" fontId="27" fillId="12" borderId="92" xfId="0" applyNumberFormat="1" applyFont="1" applyFill="1" applyBorder="1" applyAlignment="1" applyProtection="1">
      <alignment horizontal="left" wrapText="1"/>
    </xf>
    <xf numFmtId="4" fontId="27" fillId="23" borderId="53" xfId="0" applyNumberFormat="1" applyFont="1" applyFill="1" applyBorder="1" applyAlignment="1" applyProtection="1">
      <alignment horizontal="left"/>
      <protection hidden="1"/>
    </xf>
    <xf numFmtId="4" fontId="27" fillId="0" borderId="9" xfId="0" applyNumberFormat="1" applyFont="1" applyFill="1" applyBorder="1" applyAlignment="1" applyProtection="1">
      <alignment horizontal="left"/>
      <protection hidden="1"/>
    </xf>
    <xf numFmtId="3" fontId="21" fillId="16" borderId="14" xfId="0" applyNumberFormat="1" applyFont="1" applyFill="1" applyBorder="1" applyAlignment="1" applyProtection="1">
      <alignment horizontal="center"/>
      <protection locked="0"/>
    </xf>
    <xf numFmtId="3" fontId="21" fillId="16" borderId="23" xfId="0" applyNumberFormat="1" applyFont="1" applyFill="1" applyBorder="1" applyAlignment="1" applyProtection="1">
      <alignment horizontal="center"/>
      <protection locked="0"/>
    </xf>
    <xf numFmtId="3" fontId="27" fillId="22" borderId="15" xfId="0" applyNumberFormat="1" applyFont="1" applyFill="1" applyBorder="1" applyAlignment="1" applyProtection="1">
      <alignment horizontal="center"/>
    </xf>
    <xf numFmtId="0" fontId="45" fillId="8" borderId="0" xfId="0" applyFont="1" applyFill="1"/>
    <xf numFmtId="168" fontId="21" fillId="16" borderId="14" xfId="0" applyNumberFormat="1" applyFont="1" applyFill="1" applyBorder="1" applyAlignment="1" applyProtection="1">
      <alignment horizontal="center"/>
      <protection locked="0"/>
    </xf>
    <xf numFmtId="0" fontId="142" fillId="8" borderId="2" xfId="0" applyFont="1" applyFill="1" applyBorder="1" applyProtection="1">
      <protection hidden="1"/>
    </xf>
    <xf numFmtId="0" fontId="142" fillId="8" borderId="3" xfId="0" applyFont="1" applyFill="1" applyBorder="1" applyProtection="1">
      <protection hidden="1"/>
    </xf>
    <xf numFmtId="0" fontId="61" fillId="8" borderId="4" xfId="0" applyFont="1" applyFill="1" applyBorder="1" applyProtection="1">
      <protection hidden="1"/>
    </xf>
    <xf numFmtId="0" fontId="61" fillId="8" borderId="6" xfId="0" applyFont="1" applyFill="1" applyBorder="1" applyProtection="1">
      <protection hidden="1"/>
    </xf>
    <xf numFmtId="0" fontId="61" fillId="8" borderId="7" xfId="0" applyFont="1" applyFill="1" applyBorder="1" applyProtection="1">
      <protection hidden="1"/>
    </xf>
    <xf numFmtId="0" fontId="61" fillId="8" borderId="8" xfId="0" applyFont="1" applyFill="1" applyBorder="1" applyProtection="1">
      <protection hidden="1"/>
    </xf>
    <xf numFmtId="0" fontId="61" fillId="8" borderId="23" xfId="0" applyFont="1" applyFill="1" applyBorder="1" applyProtection="1">
      <protection hidden="1"/>
    </xf>
    <xf numFmtId="9" fontId="61" fillId="8" borderId="24" xfId="0" applyNumberFormat="1" applyFont="1" applyFill="1" applyBorder="1" applyProtection="1">
      <protection hidden="1"/>
    </xf>
    <xf numFmtId="0" fontId="61" fillId="8" borderId="19" xfId="0" applyFont="1" applyFill="1" applyBorder="1" applyProtection="1">
      <protection hidden="1"/>
    </xf>
    <xf numFmtId="0" fontId="61" fillId="8" borderId="24" xfId="0" applyFont="1" applyFill="1" applyBorder="1" applyProtection="1">
      <protection hidden="1"/>
    </xf>
    <xf numFmtId="0" fontId="61" fillId="8" borderId="23" xfId="0" applyFont="1" applyFill="1" applyBorder="1" applyAlignment="1" applyProtection="1">
      <alignment horizontal="right"/>
      <protection hidden="1"/>
    </xf>
    <xf numFmtId="0" fontId="61" fillId="8" borderId="23" xfId="0" applyFont="1" applyFill="1" applyBorder="1" applyAlignment="1" applyProtection="1">
      <alignment wrapText="1"/>
      <protection hidden="1"/>
    </xf>
    <xf numFmtId="0" fontId="61" fillId="8" borderId="24" xfId="0" applyFont="1" applyFill="1" applyBorder="1" applyAlignment="1" applyProtection="1">
      <alignment wrapText="1"/>
      <protection hidden="1"/>
    </xf>
    <xf numFmtId="0" fontId="61" fillId="8" borderId="12" xfId="0" applyFont="1" applyFill="1" applyBorder="1" applyProtection="1">
      <protection hidden="1"/>
    </xf>
    <xf numFmtId="0" fontId="61" fillId="8" borderId="18" xfId="0" applyFont="1" applyFill="1" applyBorder="1" applyProtection="1">
      <protection hidden="1"/>
    </xf>
    <xf numFmtId="0" fontId="61" fillId="8" borderId="13" xfId="0" applyFont="1" applyFill="1" applyBorder="1" applyProtection="1">
      <protection hidden="1"/>
    </xf>
    <xf numFmtId="0" fontId="143" fillId="8" borderId="1" xfId="0" applyFont="1" applyFill="1" applyBorder="1" applyProtection="1">
      <protection hidden="1"/>
    </xf>
    <xf numFmtId="0" fontId="143" fillId="8" borderId="0" xfId="0" applyFont="1" applyFill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71" fillId="6" borderId="0" xfId="0" applyFont="1" applyFill="1" applyBorder="1"/>
    <xf numFmtId="0" fontId="145" fillId="0" borderId="0" xfId="0" applyFont="1"/>
    <xf numFmtId="0" fontId="14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27" borderId="15" xfId="0" applyFont="1" applyFill="1" applyBorder="1" applyAlignment="1">
      <alignment vertical="center"/>
    </xf>
    <xf numFmtId="0" fontId="27" fillId="27" borderId="11" xfId="0" applyFont="1" applyFill="1" applyBorder="1" applyAlignment="1">
      <alignment vertical="center" wrapText="1"/>
    </xf>
    <xf numFmtId="0" fontId="27" fillId="27" borderId="11" xfId="0" applyFont="1" applyFill="1" applyBorder="1" applyAlignment="1">
      <alignment vertical="center"/>
    </xf>
    <xf numFmtId="0" fontId="9" fillId="0" borderId="52" xfId="0" applyFont="1" applyBorder="1" applyAlignment="1">
      <alignment vertical="center" wrapText="1"/>
    </xf>
    <xf numFmtId="0" fontId="9" fillId="0" borderId="81" xfId="0" applyFont="1" applyBorder="1" applyAlignment="1">
      <alignment vertical="center" wrapText="1"/>
    </xf>
    <xf numFmtId="0" fontId="0" fillId="0" borderId="52" xfId="0" applyBorder="1" applyAlignment="1">
      <alignment vertical="top" wrapText="1"/>
    </xf>
    <xf numFmtId="0" fontId="0" fillId="0" borderId="81" xfId="0" applyBorder="1" applyAlignment="1">
      <alignment vertical="top" wrapText="1"/>
    </xf>
    <xf numFmtId="0" fontId="0" fillId="0" borderId="52" xfId="0" applyBorder="1" applyAlignment="1">
      <alignment vertical="center" wrapText="1"/>
    </xf>
    <xf numFmtId="0" fontId="27" fillId="0" borderId="74" xfId="0" applyFont="1" applyBorder="1" applyAlignment="1">
      <alignment vertical="center" wrapText="1"/>
    </xf>
    <xf numFmtId="14" fontId="45" fillId="8" borderId="0" xfId="0" applyNumberFormat="1" applyFont="1" applyFill="1"/>
    <xf numFmtId="0" fontId="45" fillId="8" borderId="0" xfId="0" applyFont="1" applyFill="1" applyAlignment="1">
      <alignment vertical="center"/>
    </xf>
    <xf numFmtId="0" fontId="21" fillId="8" borderId="0" xfId="0" applyFont="1" applyFill="1" applyAlignment="1" applyProtection="1">
      <alignment horizontal="center"/>
      <protection hidden="1"/>
    </xf>
    <xf numFmtId="0" fontId="17" fillId="8" borderId="0" xfId="0" applyFont="1" applyFill="1" applyProtection="1">
      <protection hidden="1"/>
    </xf>
    <xf numFmtId="10" fontId="21" fillId="8" borderId="0" xfId="4" applyNumberFormat="1" applyFont="1" applyFill="1" applyProtection="1">
      <protection hidden="1"/>
    </xf>
    <xf numFmtId="0" fontId="18" fillId="8" borderId="0" xfId="0" applyFont="1" applyFill="1" applyProtection="1">
      <protection hidden="1"/>
    </xf>
    <xf numFmtId="0" fontId="150" fillId="8" borderId="0" xfId="0" applyFont="1" applyFill="1"/>
    <xf numFmtId="0" fontId="150" fillId="8" borderId="0" xfId="0" applyFont="1" applyFill="1" applyProtection="1">
      <protection hidden="1"/>
    </xf>
    <xf numFmtId="14" fontId="152" fillId="8" borderId="0" xfId="0" applyNumberFormat="1" applyFont="1" applyFill="1" applyProtection="1">
      <protection hidden="1"/>
    </xf>
    <xf numFmtId="0" fontId="152" fillId="8" borderId="0" xfId="0" applyFont="1" applyFill="1" applyProtection="1">
      <protection hidden="1"/>
    </xf>
    <xf numFmtId="0" fontId="151" fillId="8" borderId="0" xfId="0" applyFont="1" applyFill="1" applyProtection="1">
      <protection hidden="1"/>
    </xf>
    <xf numFmtId="171" fontId="8" fillId="8" borderId="18" xfId="0" applyNumberFormat="1" applyFont="1" applyFill="1" applyBorder="1" applyProtection="1">
      <protection hidden="1"/>
    </xf>
    <xf numFmtId="1" fontId="28" fillId="24" borderId="35" xfId="0" applyNumberFormat="1" applyFont="1" applyFill="1" applyBorder="1" applyAlignment="1" applyProtection="1">
      <alignment horizontal="center"/>
      <protection locked="0"/>
    </xf>
    <xf numFmtId="14" fontId="153" fillId="8" borderId="0" xfId="0" applyNumberFormat="1" applyFont="1" applyFill="1"/>
    <xf numFmtId="0" fontId="154" fillId="8" borderId="0" xfId="0" applyFont="1" applyFill="1"/>
    <xf numFmtId="168" fontId="28" fillId="16" borderId="14" xfId="0" applyNumberFormat="1" applyFont="1" applyFill="1" applyBorder="1" applyAlignment="1" applyProtection="1">
      <alignment vertical="center"/>
      <protection locked="0"/>
    </xf>
    <xf numFmtId="0" fontId="155" fillId="8" borderId="0" xfId="0" applyFont="1" applyFill="1"/>
    <xf numFmtId="14" fontId="155" fillId="8" borderId="0" xfId="0" applyNumberFormat="1" applyFont="1" applyFill="1"/>
    <xf numFmtId="14" fontId="156" fillId="8" borderId="0" xfId="0" applyNumberFormat="1" applyFont="1" applyFill="1" applyBorder="1" applyProtection="1">
      <protection hidden="1"/>
    </xf>
    <xf numFmtId="0" fontId="155" fillId="8" borderId="4" xfId="0" applyFont="1" applyFill="1" applyBorder="1" applyProtection="1">
      <protection hidden="1"/>
    </xf>
    <xf numFmtId="0" fontId="32" fillId="6" borderId="0" xfId="0" applyFont="1" applyFill="1" applyBorder="1" applyAlignment="1" applyProtection="1">
      <alignment horizontal="center" vertical="center"/>
    </xf>
    <xf numFmtId="0" fontId="7" fillId="8" borderId="0" xfId="0" applyFont="1" applyFill="1" applyBorder="1" applyProtection="1">
      <protection hidden="1"/>
    </xf>
    <xf numFmtId="14" fontId="21" fillId="8" borderId="0" xfId="0" applyNumberFormat="1" applyFont="1" applyFill="1"/>
    <xf numFmtId="0" fontId="6" fillId="8" borderId="0" xfId="0" applyFont="1" applyFill="1"/>
    <xf numFmtId="14" fontId="159" fillId="8" borderId="0" xfId="0" applyNumberFormat="1" applyFont="1" applyFill="1"/>
    <xf numFmtId="0" fontId="159" fillId="8" borderId="0" xfId="0" applyFont="1" applyFill="1" applyProtection="1">
      <protection hidden="1"/>
    </xf>
    <xf numFmtId="14" fontId="159" fillId="8" borderId="0" xfId="0" applyNumberFormat="1" applyFont="1" applyFill="1" applyProtection="1">
      <protection hidden="1"/>
    </xf>
    <xf numFmtId="0" fontId="161" fillId="8" borderId="0" xfId="0" applyFont="1" applyFill="1" applyProtection="1">
      <protection hidden="1"/>
    </xf>
    <xf numFmtId="0" fontId="163" fillId="8" borderId="0" xfId="0" applyFont="1" applyFill="1" applyProtection="1">
      <protection hidden="1"/>
    </xf>
    <xf numFmtId="0" fontId="126" fillId="8" borderId="0" xfId="0" applyFont="1" applyFill="1" applyProtection="1">
      <protection hidden="1"/>
    </xf>
    <xf numFmtId="0" fontId="126" fillId="0" borderId="0" xfId="0" applyFont="1" applyFill="1" applyProtection="1">
      <protection hidden="1"/>
    </xf>
    <xf numFmtId="0" fontId="164" fillId="8" borderId="0" xfId="0" applyFont="1" applyFill="1" applyProtection="1">
      <protection hidden="1"/>
    </xf>
    <xf numFmtId="0" fontId="126" fillId="0" borderId="0" xfId="0" applyFont="1" applyProtection="1">
      <protection hidden="1"/>
    </xf>
    <xf numFmtId="0" fontId="22" fillId="8" borderId="0" xfId="0" applyFont="1" applyFill="1"/>
    <xf numFmtId="0" fontId="37" fillId="8" borderId="0" xfId="0" applyFont="1" applyFill="1"/>
    <xf numFmtId="0" fontId="22" fillId="8" borderId="4" xfId="0" applyFont="1" applyFill="1" applyBorder="1"/>
    <xf numFmtId="0" fontId="22" fillId="8" borderId="0" xfId="0" applyFont="1" applyFill="1" applyBorder="1"/>
    <xf numFmtId="0" fontId="22" fillId="8" borderId="0" xfId="0" applyFont="1" applyFill="1" applyBorder="1" applyAlignment="1">
      <alignment horizontal="left"/>
    </xf>
    <xf numFmtId="0" fontId="104" fillId="8" borderId="0" xfId="2" applyFont="1" applyFill="1" applyAlignment="1" applyProtection="1"/>
    <xf numFmtId="14" fontId="165" fillId="8" borderId="0" xfId="0" applyNumberFormat="1" applyFont="1" applyFill="1"/>
    <xf numFmtId="10" fontId="33" fillId="7" borderId="0" xfId="0" applyNumberFormat="1" applyFont="1" applyFill="1" applyBorder="1" applyAlignment="1" applyProtection="1">
      <alignment horizontal="right" vertical="center"/>
      <protection hidden="1"/>
    </xf>
    <xf numFmtId="0" fontId="166" fillId="8" borderId="0" xfId="0" applyFont="1" applyFill="1"/>
    <xf numFmtId="4" fontId="28" fillId="0" borderId="0" xfId="0" applyNumberFormat="1" applyFont="1" applyFill="1" applyBorder="1" applyAlignment="1" applyProtection="1">
      <alignment horizontal="right" indent="1"/>
      <protection hidden="1"/>
    </xf>
    <xf numFmtId="14" fontId="45" fillId="8" borderId="0" xfId="0" applyNumberFormat="1" applyFont="1" applyFill="1" applyProtection="1">
      <protection hidden="1"/>
    </xf>
    <xf numFmtId="0" fontId="45" fillId="8" borderId="0" xfId="0" applyFont="1" applyFill="1" applyAlignment="1" applyProtection="1">
      <alignment vertical="top"/>
      <protection hidden="1"/>
    </xf>
    <xf numFmtId="14" fontId="38" fillId="8" borderId="0" xfId="0" applyNumberFormat="1" applyFont="1" applyFill="1"/>
    <xf numFmtId="14" fontId="169" fillId="8" borderId="0" xfId="0" applyNumberFormat="1" applyFont="1" applyFill="1" applyProtection="1">
      <protection hidden="1"/>
    </xf>
    <xf numFmtId="0" fontId="28" fillId="0" borderId="14" xfId="0" applyFont="1" applyFill="1" applyBorder="1" applyAlignment="1" applyProtection="1">
      <alignment horizontal="center" vertical="center"/>
      <protection hidden="1"/>
    </xf>
    <xf numFmtId="17" fontId="27" fillId="7" borderId="23" xfId="0" applyNumberFormat="1" applyFont="1" applyFill="1" applyBorder="1" applyAlignment="1" applyProtection="1">
      <alignment horizontal="center" vertical="center"/>
      <protection hidden="1"/>
    </xf>
    <xf numFmtId="7" fontId="33" fillId="28" borderId="14" xfId="3" applyNumberFormat="1" applyFont="1" applyFill="1" applyBorder="1" applyAlignment="1" applyProtection="1">
      <alignment horizontal="right" vertical="center"/>
      <protection hidden="1"/>
    </xf>
    <xf numFmtId="165" fontId="33" fillId="28" borderId="15" xfId="0" applyNumberFormat="1" applyFont="1" applyFill="1" applyBorder="1" applyAlignment="1" applyProtection="1">
      <alignment horizontal="right" vertical="center"/>
      <protection hidden="1"/>
    </xf>
    <xf numFmtId="0" fontId="28" fillId="6" borderId="0" xfId="0" applyFont="1" applyFill="1" applyBorder="1" applyProtection="1">
      <protection hidden="1"/>
    </xf>
    <xf numFmtId="168" fontId="28" fillId="6" borderId="0" xfId="0" applyNumberFormat="1" applyFont="1" applyFill="1" applyBorder="1" applyAlignment="1" applyProtection="1">
      <alignment vertical="center"/>
      <protection hidden="1"/>
    </xf>
    <xf numFmtId="165" fontId="33" fillId="6" borderId="0" xfId="0" applyNumberFormat="1" applyFont="1" applyFill="1" applyBorder="1" applyAlignment="1" applyProtection="1">
      <alignment horizontal="right" vertical="center"/>
      <protection hidden="1"/>
    </xf>
    <xf numFmtId="168" fontId="33" fillId="6" borderId="0" xfId="0" applyNumberFormat="1" applyFont="1" applyFill="1" applyBorder="1" applyAlignment="1" applyProtection="1">
      <alignment vertical="center"/>
      <protection hidden="1"/>
    </xf>
    <xf numFmtId="7" fontId="14" fillId="6" borderId="0" xfId="0" applyNumberFormat="1" applyFont="1" applyFill="1" applyBorder="1" applyAlignment="1" applyProtection="1">
      <alignment vertical="center"/>
      <protection hidden="1"/>
    </xf>
    <xf numFmtId="0" fontId="64" fillId="8" borderId="0" xfId="0" applyFont="1" applyFill="1" applyProtection="1">
      <protection hidden="1"/>
    </xf>
    <xf numFmtId="0" fontId="5" fillId="0" borderId="52" xfId="0" quotePrefix="1" applyFont="1" applyBorder="1" applyAlignment="1">
      <alignment vertical="center" wrapText="1"/>
    </xf>
    <xf numFmtId="0" fontId="5" fillId="0" borderId="81" xfId="0" quotePrefix="1" applyFont="1" applyBorder="1" applyAlignment="1">
      <alignment vertical="center" wrapText="1"/>
    </xf>
    <xf numFmtId="0" fontId="10" fillId="0" borderId="0" xfId="0" applyFont="1" applyFill="1" applyBorder="1" applyProtection="1">
      <protection hidden="1"/>
    </xf>
    <xf numFmtId="0" fontId="30" fillId="0" borderId="0" xfId="0" applyFont="1" applyFill="1" applyBorder="1" applyProtection="1">
      <protection hidden="1"/>
    </xf>
    <xf numFmtId="0" fontId="11" fillId="0" borderId="0" xfId="0" applyFont="1" applyFill="1" applyBorder="1" applyProtection="1">
      <protection hidden="1"/>
    </xf>
    <xf numFmtId="2" fontId="32" fillId="0" borderId="0" xfId="0" applyNumberFormat="1" applyFont="1" applyFill="1" applyBorder="1" applyAlignment="1" applyProtection="1">
      <alignment horizontal="right"/>
      <protection hidden="1"/>
    </xf>
    <xf numFmtId="0" fontId="83" fillId="0" borderId="0" xfId="0" applyFont="1" applyFill="1" applyBorder="1" applyProtection="1">
      <protection hidden="1"/>
    </xf>
    <xf numFmtId="3" fontId="32" fillId="0" borderId="0" xfId="0" applyNumberFormat="1" applyFont="1" applyFill="1" applyBorder="1" applyAlignment="1" applyProtection="1">
      <alignment horizontal="center" vertical="center"/>
      <protection hidden="1"/>
    </xf>
    <xf numFmtId="2" fontId="32" fillId="0" borderId="0" xfId="0" applyNumberFormat="1" applyFont="1" applyFill="1" applyBorder="1" applyAlignment="1" applyProtection="1">
      <alignment horizontal="center" vertical="center"/>
    </xf>
    <xf numFmtId="167" fontId="32" fillId="0" borderId="0" xfId="0" applyNumberFormat="1" applyFont="1" applyFill="1" applyBorder="1" applyAlignment="1" applyProtection="1">
      <alignment vertical="center"/>
      <protection hidden="1"/>
    </xf>
    <xf numFmtId="0" fontId="32" fillId="0" borderId="0" xfId="0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 applyProtection="1">
      <alignment vertical="center"/>
      <protection hidden="1"/>
    </xf>
    <xf numFmtId="0" fontId="32" fillId="0" borderId="0" xfId="0" applyFont="1" applyFill="1" applyBorder="1" applyAlignment="1">
      <alignment horizontal="center" vertical="center"/>
    </xf>
    <xf numFmtId="173" fontId="65" fillId="0" borderId="40" xfId="0" applyNumberFormat="1" applyFont="1" applyFill="1" applyBorder="1" applyAlignment="1" applyProtection="1">
      <alignment vertical="center"/>
      <protection hidden="1"/>
    </xf>
    <xf numFmtId="10" fontId="33" fillId="0" borderId="0" xfId="0" applyNumberFormat="1" applyFont="1" applyFill="1" applyBorder="1" applyAlignment="1" applyProtection="1">
      <alignment horizontal="right" vertical="center"/>
      <protection hidden="1"/>
    </xf>
    <xf numFmtId="1" fontId="32" fillId="0" borderId="0" xfId="0" applyNumberFormat="1" applyFont="1" applyFill="1" applyBorder="1" applyAlignment="1" applyProtection="1">
      <alignment horizontal="center"/>
      <protection hidden="1"/>
    </xf>
    <xf numFmtId="167" fontId="83" fillId="0" borderId="0" xfId="0" applyNumberFormat="1" applyFont="1" applyFill="1" applyBorder="1" applyAlignment="1" applyProtection="1">
      <alignment horizontal="right"/>
    </xf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Protection="1"/>
    <xf numFmtId="0" fontId="32" fillId="0" borderId="0" xfId="0" applyFont="1" applyFill="1" applyBorder="1" applyAlignment="1" applyProtection="1">
      <alignment horizontal="right" vertical="center"/>
      <protection hidden="1"/>
    </xf>
    <xf numFmtId="0" fontId="32" fillId="0" borderId="4" xfId="0" applyFont="1" applyFill="1" applyBorder="1" applyProtection="1">
      <protection hidden="1"/>
    </xf>
    <xf numFmtId="0" fontId="32" fillId="0" borderId="4" xfId="0" applyFont="1" applyFill="1" applyBorder="1" applyAlignment="1" applyProtection="1">
      <alignment horizontal="left"/>
      <protection hidden="1"/>
    </xf>
    <xf numFmtId="0" fontId="32" fillId="0" borderId="6" xfId="0" applyFont="1" applyFill="1" applyBorder="1" applyProtection="1">
      <protection hidden="1"/>
    </xf>
    <xf numFmtId="0" fontId="65" fillId="0" borderId="0" xfId="0" applyFont="1" applyFill="1" applyBorder="1" applyProtection="1">
      <protection hidden="1"/>
    </xf>
    <xf numFmtId="0" fontId="24" fillId="0" borderId="0" xfId="0" applyFont="1" applyFill="1" applyProtection="1">
      <protection hidden="1"/>
    </xf>
    <xf numFmtId="0" fontId="24" fillId="0" borderId="0" xfId="0" applyFont="1" applyProtection="1">
      <protection hidden="1"/>
    </xf>
    <xf numFmtId="0" fontId="63" fillId="0" borderId="0" xfId="0" applyFont="1" applyProtection="1">
      <protection hidden="1"/>
    </xf>
    <xf numFmtId="14" fontId="114" fillId="8" borderId="0" xfId="0" applyNumberFormat="1" applyFont="1" applyFill="1" applyProtection="1">
      <protection hidden="1"/>
    </xf>
    <xf numFmtId="14" fontId="128" fillId="8" borderId="0" xfId="0" applyNumberFormat="1" applyFont="1" applyFill="1" applyProtection="1">
      <protection hidden="1"/>
    </xf>
    <xf numFmtId="14" fontId="157" fillId="8" borderId="0" xfId="0" applyNumberFormat="1" applyFont="1" applyFill="1" applyProtection="1">
      <protection hidden="1"/>
    </xf>
    <xf numFmtId="0" fontId="24" fillId="8" borderId="0" xfId="0" applyFont="1" applyFill="1" applyProtection="1">
      <protection hidden="1"/>
    </xf>
    <xf numFmtId="0" fontId="0" fillId="7" borderId="0" xfId="0" applyFill="1" applyProtection="1">
      <protection hidden="1"/>
    </xf>
    <xf numFmtId="0" fontId="0" fillId="7" borderId="0" xfId="0" applyFill="1" applyAlignment="1" applyProtection="1">
      <alignment horizontal="center"/>
      <protection hidden="1"/>
    </xf>
    <xf numFmtId="9" fontId="42" fillId="7" borderId="0" xfId="0" applyNumberFormat="1" applyFont="1" applyFill="1" applyProtection="1">
      <protection hidden="1"/>
    </xf>
    <xf numFmtId="0" fontId="42" fillId="0" borderId="0" xfId="0" applyFont="1" applyProtection="1">
      <protection hidden="1"/>
    </xf>
    <xf numFmtId="0" fontId="0" fillId="7" borderId="12" xfId="0" applyFill="1" applyBorder="1" applyProtection="1">
      <protection hidden="1"/>
    </xf>
    <xf numFmtId="0" fontId="0" fillId="7" borderId="18" xfId="0" applyFill="1" applyBorder="1" applyProtection="1">
      <protection hidden="1"/>
    </xf>
    <xf numFmtId="0" fontId="0" fillId="7" borderId="13" xfId="0" applyFill="1" applyBorder="1" applyProtection="1">
      <protection hidden="1"/>
    </xf>
    <xf numFmtId="0" fontId="85" fillId="8" borderId="0" xfId="0" applyFont="1" applyFill="1" applyProtection="1">
      <protection hidden="1"/>
    </xf>
    <xf numFmtId="14" fontId="0" fillId="0" borderId="14" xfId="0" applyNumberFormat="1" applyBorder="1" applyProtection="1">
      <protection hidden="1"/>
    </xf>
    <xf numFmtId="14" fontId="24" fillId="22" borderId="14" xfId="0" applyNumberFormat="1" applyFont="1" applyFill="1" applyBorder="1" applyProtection="1">
      <protection hidden="1"/>
    </xf>
    <xf numFmtId="49" fontId="0" fillId="0" borderId="0" xfId="0" applyNumberFormat="1" applyBorder="1" applyProtection="1">
      <protection hidden="1"/>
    </xf>
    <xf numFmtId="0" fontId="24" fillId="22" borderId="14" xfId="0" applyNumberFormat="1" applyFont="1" applyFill="1" applyBorder="1" applyProtection="1">
      <protection hidden="1"/>
    </xf>
    <xf numFmtId="0" fontId="0" fillId="0" borderId="12" xfId="0" applyBorder="1" applyProtection="1">
      <protection hidden="1"/>
    </xf>
    <xf numFmtId="0" fontId="0" fillId="0" borderId="13" xfId="0" applyBorder="1" applyProtection="1">
      <protection hidden="1"/>
    </xf>
    <xf numFmtId="0" fontId="0" fillId="7" borderId="23" xfId="0" applyFill="1" applyBorder="1" applyProtection="1">
      <protection hidden="1"/>
    </xf>
    <xf numFmtId="0" fontId="0" fillId="22" borderId="23" xfId="0" applyFill="1" applyBorder="1" applyProtection="1">
      <protection hidden="1"/>
    </xf>
    <xf numFmtId="14" fontId="0" fillId="7" borderId="3" xfId="0" applyNumberFormat="1" applyFill="1" applyBorder="1" applyProtection="1">
      <protection hidden="1"/>
    </xf>
    <xf numFmtId="0" fontId="0" fillId="7" borderId="1" xfId="0" applyFill="1" applyBorder="1" applyProtection="1">
      <protection hidden="1"/>
    </xf>
    <xf numFmtId="0" fontId="0" fillId="7" borderId="3" xfId="0" applyFill="1" applyBorder="1" applyProtection="1">
      <protection hidden="1"/>
    </xf>
    <xf numFmtId="0" fontId="0" fillId="7" borderId="19" xfId="0" applyFill="1" applyBorder="1" applyProtection="1">
      <protection hidden="1"/>
    </xf>
    <xf numFmtId="0" fontId="0" fillId="22" borderId="19" xfId="0" applyFill="1" applyBorder="1" applyProtection="1">
      <protection hidden="1"/>
    </xf>
    <xf numFmtId="0" fontId="0" fillId="7" borderId="4" xfId="0" applyFill="1" applyBorder="1" applyProtection="1">
      <protection hidden="1"/>
    </xf>
    <xf numFmtId="0" fontId="0" fillId="7" borderId="5" xfId="0" applyFill="1" applyBorder="1" applyProtection="1">
      <protection hidden="1"/>
    </xf>
    <xf numFmtId="0" fontId="0" fillId="7" borderId="24" xfId="0" applyFill="1" applyBorder="1" applyProtection="1">
      <protection hidden="1"/>
    </xf>
    <xf numFmtId="0" fontId="0" fillId="22" borderId="24" xfId="0" applyFill="1" applyBorder="1" applyProtection="1">
      <protection hidden="1"/>
    </xf>
    <xf numFmtId="14" fontId="0" fillId="7" borderId="14" xfId="0" applyNumberFormat="1" applyFill="1" applyBorder="1" applyProtection="1">
      <protection hidden="1"/>
    </xf>
    <xf numFmtId="0" fontId="0" fillId="7" borderId="6" xfId="0" applyFill="1" applyBorder="1" applyProtection="1">
      <protection hidden="1"/>
    </xf>
    <xf numFmtId="0" fontId="0" fillId="7" borderId="8" xfId="0" applyFill="1" applyBorder="1" applyProtection="1">
      <protection hidden="1"/>
    </xf>
    <xf numFmtId="0" fontId="0" fillId="22" borderId="14" xfId="0" applyFill="1" applyBorder="1" applyProtection="1">
      <protection hidden="1"/>
    </xf>
    <xf numFmtId="0" fontId="0" fillId="22" borderId="14" xfId="0" applyFill="1" applyBorder="1" applyAlignment="1" applyProtection="1">
      <alignment wrapText="1"/>
      <protection hidden="1"/>
    </xf>
    <xf numFmtId="0" fontId="158" fillId="8" borderId="0" xfId="0" applyFont="1" applyFill="1" applyProtection="1">
      <protection hidden="1"/>
    </xf>
    <xf numFmtId="0" fontId="0" fillId="7" borderId="14" xfId="0" applyFill="1" applyBorder="1" applyProtection="1">
      <protection hidden="1"/>
    </xf>
    <xf numFmtId="1" fontId="0" fillId="0" borderId="14" xfId="0" applyNumberFormat="1" applyBorder="1" applyProtection="1">
      <protection hidden="1"/>
    </xf>
    <xf numFmtId="2" fontId="0" fillId="0" borderId="14" xfId="0" applyNumberFormat="1" applyBorder="1" applyProtection="1">
      <protection hidden="1"/>
    </xf>
    <xf numFmtId="0" fontId="0" fillId="0" borderId="14" xfId="0" applyBorder="1" applyProtection="1">
      <protection hidden="1"/>
    </xf>
    <xf numFmtId="10" fontId="0" fillId="0" borderId="14" xfId="4" applyNumberFormat="1" applyFont="1" applyBorder="1" applyProtection="1">
      <protection hidden="1"/>
    </xf>
    <xf numFmtId="0" fontId="0" fillId="7" borderId="107" xfId="0" applyFill="1" applyBorder="1" applyProtection="1">
      <protection hidden="1"/>
    </xf>
    <xf numFmtId="1" fontId="0" fillId="0" borderId="107" xfId="0" applyNumberFormat="1" applyBorder="1" applyProtection="1">
      <protection hidden="1"/>
    </xf>
    <xf numFmtId="2" fontId="0" fillId="0" borderId="107" xfId="0" applyNumberFormat="1" applyBorder="1" applyProtection="1">
      <protection hidden="1"/>
    </xf>
    <xf numFmtId="0" fontId="0" fillId="0" borderId="107" xfId="0" applyBorder="1" applyProtection="1">
      <protection hidden="1"/>
    </xf>
    <xf numFmtId="10" fontId="0" fillId="0" borderId="107" xfId="4" applyNumberFormat="1" applyFont="1" applyBorder="1" applyProtection="1">
      <protection hidden="1"/>
    </xf>
    <xf numFmtId="0" fontId="0" fillId="7" borderId="24" xfId="0" applyFill="1" applyBorder="1" applyAlignment="1" applyProtection="1">
      <alignment wrapText="1"/>
      <protection hidden="1"/>
    </xf>
    <xf numFmtId="1" fontId="0" fillId="0" borderId="24" xfId="0" applyNumberFormat="1" applyBorder="1" applyProtection="1">
      <protection hidden="1"/>
    </xf>
    <xf numFmtId="0" fontId="0" fillId="0" borderId="24" xfId="0" applyBorder="1" applyProtection="1">
      <protection hidden="1"/>
    </xf>
    <xf numFmtId="9" fontId="0" fillId="0" borderId="24" xfId="0" applyNumberFormat="1" applyBorder="1" applyProtection="1">
      <protection hidden="1"/>
    </xf>
    <xf numFmtId="0" fontId="160" fillId="0" borderId="24" xfId="0" applyFont="1" applyBorder="1" applyProtection="1">
      <protection hidden="1"/>
    </xf>
    <xf numFmtId="0" fontId="160" fillId="7" borderId="14" xfId="0" applyFont="1" applyFill="1" applyBorder="1" applyProtection="1">
      <protection hidden="1"/>
    </xf>
    <xf numFmtId="0" fontId="160" fillId="0" borderId="18" xfId="0" applyFont="1" applyBorder="1" applyProtection="1">
      <protection hidden="1"/>
    </xf>
    <xf numFmtId="0" fontId="160" fillId="0" borderId="14" xfId="0" applyFont="1" applyBorder="1" applyProtection="1">
      <protection hidden="1"/>
    </xf>
    <xf numFmtId="0" fontId="160" fillId="0" borderId="13" xfId="0" applyFont="1" applyBorder="1" applyProtection="1">
      <protection hidden="1"/>
    </xf>
    <xf numFmtId="0" fontId="0" fillId="7" borderId="42" xfId="0" applyFill="1" applyBorder="1" applyAlignment="1" applyProtection="1">
      <alignment wrapText="1"/>
      <protection hidden="1"/>
    </xf>
    <xf numFmtId="0" fontId="0" fillId="0" borderId="40" xfId="0" applyBorder="1" applyProtection="1">
      <protection hidden="1"/>
    </xf>
    <xf numFmtId="0" fontId="160" fillId="0" borderId="42" xfId="0" applyFont="1" applyBorder="1" applyProtection="1">
      <protection hidden="1"/>
    </xf>
    <xf numFmtId="0" fontId="0" fillId="0" borderId="42" xfId="0" applyBorder="1" applyProtection="1">
      <protection hidden="1"/>
    </xf>
    <xf numFmtId="14" fontId="170" fillId="8" borderId="0" xfId="0" applyNumberFormat="1" applyFont="1" applyFill="1" applyBorder="1" applyProtection="1">
      <protection hidden="1"/>
    </xf>
    <xf numFmtId="14" fontId="171" fillId="8" borderId="0" xfId="0" applyNumberFormat="1" applyFont="1" applyFill="1" applyProtection="1">
      <protection hidden="1"/>
    </xf>
    <xf numFmtId="167" fontId="33" fillId="28" borderId="15" xfId="0" applyNumberFormat="1" applyFont="1" applyFill="1" applyBorder="1" applyAlignment="1" applyProtection="1">
      <alignment horizontal="right"/>
      <protection hidden="1"/>
    </xf>
    <xf numFmtId="0" fontId="27" fillId="8" borderId="0" xfId="0" applyFont="1" applyFill="1"/>
    <xf numFmtId="168" fontId="21" fillId="16" borderId="13" xfId="0" applyNumberFormat="1" applyFont="1" applyFill="1" applyBorder="1" applyAlignment="1" applyProtection="1">
      <alignment horizontal="center"/>
      <protection locked="0"/>
    </xf>
    <xf numFmtId="4" fontId="5" fillId="16" borderId="14" xfId="0" applyNumberFormat="1" applyFont="1" applyFill="1" applyBorder="1" applyAlignment="1" applyProtection="1">
      <alignment horizontal="center"/>
      <protection locked="0"/>
    </xf>
    <xf numFmtId="1" fontId="13" fillId="16" borderId="14" xfId="0" applyNumberFormat="1" applyFont="1" applyFill="1" applyBorder="1" applyAlignment="1" applyProtection="1">
      <alignment horizontal="center"/>
      <protection locked="0"/>
    </xf>
    <xf numFmtId="49" fontId="21" fillId="16" borderId="108" xfId="0" applyNumberFormat="1" applyFont="1" applyFill="1" applyBorder="1" applyAlignment="1" applyProtection="1">
      <alignment horizontal="center"/>
      <protection locked="0"/>
    </xf>
    <xf numFmtId="168" fontId="21" fillId="16" borderId="107" xfId="0" applyNumberFormat="1" applyFont="1" applyFill="1" applyBorder="1" applyAlignment="1" applyProtection="1">
      <alignment horizontal="center"/>
      <protection locked="0"/>
    </xf>
    <xf numFmtId="1" fontId="21" fillId="16" borderId="107" xfId="0" applyNumberFormat="1" applyFont="1" applyFill="1" applyBorder="1" applyAlignment="1" applyProtection="1">
      <alignment horizontal="center"/>
      <protection locked="0"/>
    </xf>
    <xf numFmtId="4" fontId="21" fillId="16" borderId="107" xfId="0" applyNumberFormat="1" applyFont="1" applyFill="1" applyBorder="1" applyAlignment="1" applyProtection="1">
      <alignment horizontal="center"/>
      <protection locked="0"/>
    </xf>
    <xf numFmtId="4" fontId="21" fillId="6" borderId="107" xfId="0" applyNumberFormat="1" applyFont="1" applyFill="1" applyBorder="1" applyAlignment="1" applyProtection="1">
      <alignment horizontal="center"/>
    </xf>
    <xf numFmtId="0" fontId="4" fillId="0" borderId="0" xfId="0" applyFont="1"/>
    <xf numFmtId="165" fontId="33" fillId="29" borderId="15" xfId="0" applyNumberFormat="1" applyFont="1" applyFill="1" applyBorder="1" applyAlignment="1" applyProtection="1">
      <alignment horizontal="right" vertical="center"/>
      <protection locked="0"/>
    </xf>
    <xf numFmtId="4" fontId="33" fillId="24" borderId="24" xfId="0" applyNumberFormat="1" applyFont="1" applyFill="1" applyBorder="1" applyAlignment="1" applyProtection="1">
      <alignment horizontal="center"/>
      <protection locked="0"/>
    </xf>
    <xf numFmtId="0" fontId="0" fillId="0" borderId="14" xfId="0" applyBorder="1" applyAlignment="1">
      <alignment vertical="top" wrapText="1"/>
    </xf>
    <xf numFmtId="14" fontId="3" fillId="0" borderId="109" xfId="0" applyNumberFormat="1" applyFont="1" applyBorder="1" applyAlignment="1">
      <alignment horizontal="center" vertical="top" wrapText="1"/>
    </xf>
    <xf numFmtId="0" fontId="3" fillId="0" borderId="109" xfId="0" applyFont="1" applyBorder="1" applyAlignment="1">
      <alignment vertical="top" wrapText="1"/>
    </xf>
    <xf numFmtId="14" fontId="3" fillId="0" borderId="24" xfId="0" applyNumberFormat="1" applyFont="1" applyBorder="1" applyAlignment="1">
      <alignment horizontal="center" vertical="top" wrapText="1"/>
    </xf>
    <xf numFmtId="0" fontId="3" fillId="0" borderId="24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0" xfId="0" applyFont="1"/>
    <xf numFmtId="14" fontId="2" fillId="0" borderId="14" xfId="0" applyNumberFormat="1" applyFont="1" applyBorder="1" applyAlignment="1">
      <alignment horizontal="center" vertical="top" wrapText="1"/>
    </xf>
    <xf numFmtId="0" fontId="25" fillId="2" borderId="1" xfId="0" applyFont="1" applyFill="1" applyBorder="1" applyAlignment="1" applyProtection="1">
      <alignment horizontal="center"/>
      <protection hidden="1"/>
    </xf>
    <xf numFmtId="0" fontId="25" fillId="2" borderId="2" xfId="0" applyFont="1" applyFill="1" applyBorder="1" applyAlignment="1" applyProtection="1">
      <alignment horizontal="center"/>
      <protection hidden="1"/>
    </xf>
    <xf numFmtId="0" fontId="25" fillId="2" borderId="3" xfId="0" applyFont="1" applyFill="1" applyBorder="1" applyAlignment="1" applyProtection="1">
      <alignment horizontal="center"/>
      <protection hidden="1"/>
    </xf>
    <xf numFmtId="0" fontId="25" fillId="2" borderId="4" xfId="0" applyFont="1" applyFill="1" applyBorder="1" applyAlignment="1" applyProtection="1">
      <alignment horizontal="center"/>
      <protection hidden="1"/>
    </xf>
    <xf numFmtId="0" fontId="25" fillId="2" borderId="0" xfId="0" applyFont="1" applyFill="1" applyBorder="1" applyAlignment="1" applyProtection="1">
      <alignment horizontal="center"/>
      <protection hidden="1"/>
    </xf>
    <xf numFmtId="0" fontId="25" fillId="2" borderId="5" xfId="0" applyFont="1" applyFill="1" applyBorder="1" applyAlignment="1" applyProtection="1">
      <alignment horizontal="center"/>
      <protection hidden="1"/>
    </xf>
    <xf numFmtId="0" fontId="14" fillId="3" borderId="9" xfId="0" applyFont="1" applyFill="1" applyBorder="1" applyAlignment="1" applyProtection="1">
      <alignment horizontal="center"/>
      <protection locked="0"/>
    </xf>
    <xf numFmtId="0" fontId="21" fillId="3" borderId="10" xfId="0" applyFont="1" applyFill="1" applyBorder="1" applyAlignment="1" applyProtection="1">
      <alignment horizontal="center"/>
      <protection locked="0"/>
    </xf>
    <xf numFmtId="0" fontId="21" fillId="3" borderId="11" xfId="0" applyFont="1" applyFill="1" applyBorder="1" applyAlignment="1" applyProtection="1">
      <alignment horizontal="center"/>
      <protection locked="0"/>
    </xf>
    <xf numFmtId="0" fontId="20" fillId="3" borderId="12" xfId="0" applyFont="1" applyFill="1" applyBorder="1" applyAlignment="1" applyProtection="1">
      <alignment horizontal="center"/>
      <protection locked="0"/>
    </xf>
    <xf numFmtId="0" fontId="20" fillId="3" borderId="13" xfId="0" applyFont="1" applyFill="1" applyBorder="1" applyAlignment="1" applyProtection="1">
      <alignment horizontal="center"/>
      <protection locked="0"/>
    </xf>
    <xf numFmtId="14" fontId="172" fillId="0" borderId="1" xfId="0" applyNumberFormat="1" applyFont="1" applyBorder="1" applyAlignment="1" applyProtection="1">
      <alignment horizontal="center"/>
      <protection hidden="1"/>
    </xf>
    <xf numFmtId="0" fontId="172" fillId="0" borderId="2" xfId="0" applyFont="1" applyBorder="1" applyAlignment="1">
      <alignment horizontal="center"/>
    </xf>
    <xf numFmtId="14" fontId="20" fillId="3" borderId="12" xfId="0" applyNumberFormat="1" applyFont="1" applyFill="1" applyBorder="1" applyAlignment="1" applyProtection="1">
      <alignment horizontal="center"/>
      <protection locked="0"/>
    </xf>
    <xf numFmtId="14" fontId="20" fillId="3" borderId="13" xfId="0" applyNumberFormat="1" applyFont="1" applyFill="1" applyBorder="1" applyAlignment="1" applyProtection="1">
      <alignment horizontal="center"/>
      <protection locked="0"/>
    </xf>
    <xf numFmtId="0" fontId="35" fillId="5" borderId="9" xfId="2" applyFill="1" applyBorder="1" applyAlignment="1" applyProtection="1">
      <alignment horizontal="center" wrapText="1"/>
      <protection hidden="1"/>
    </xf>
    <xf numFmtId="0" fontId="35" fillId="0" borderId="10" xfId="2" applyBorder="1" applyAlignment="1" applyProtection="1">
      <protection hidden="1"/>
    </xf>
    <xf numFmtId="0" fontId="35" fillId="0" borderId="11" xfId="2" applyBorder="1" applyAlignment="1" applyProtection="1">
      <protection hidden="1"/>
    </xf>
    <xf numFmtId="49" fontId="35" fillId="4" borderId="7" xfId="2" applyNumberFormat="1" applyFill="1" applyBorder="1" applyAlignment="1" applyProtection="1">
      <alignment horizontal="left"/>
      <protection locked="0"/>
    </xf>
    <xf numFmtId="49" fontId="0" fillId="0" borderId="7" xfId="0" applyNumberFormat="1" applyBorder="1" applyAlignment="1" applyProtection="1">
      <alignment horizontal="left"/>
      <protection locked="0"/>
    </xf>
    <xf numFmtId="0" fontId="0" fillId="0" borderId="7" xfId="0" applyBorder="1" applyAlignment="1" applyProtection="1">
      <protection locked="0"/>
    </xf>
    <xf numFmtId="49" fontId="35" fillId="4" borderId="7" xfId="2" applyNumberFormat="1" applyFill="1" applyBorder="1" applyAlignment="1" applyProtection="1">
      <protection locked="0"/>
    </xf>
    <xf numFmtId="49" fontId="0" fillId="0" borderId="7" xfId="0" applyNumberFormat="1" applyBorder="1" applyAlignment="1" applyProtection="1">
      <protection locked="0"/>
    </xf>
    <xf numFmtId="49" fontId="33" fillId="4" borderId="7" xfId="0" applyNumberFormat="1" applyFont="1" applyFill="1" applyBorder="1" applyAlignment="1" applyProtection="1">
      <alignment horizontal="left"/>
      <protection locked="0"/>
    </xf>
    <xf numFmtId="49" fontId="33" fillId="4" borderId="7" xfId="0" applyNumberFormat="1" applyFont="1" applyFill="1" applyBorder="1" applyAlignment="1" applyProtection="1">
      <protection locked="0"/>
    </xf>
    <xf numFmtId="0" fontId="33" fillId="4" borderId="7" xfId="0" applyFont="1" applyFill="1" applyBorder="1" applyAlignment="1" applyProtection="1">
      <alignment horizontal="left"/>
      <protection locked="0"/>
    </xf>
    <xf numFmtId="0" fontId="33" fillId="4" borderId="7" xfId="0" applyFont="1" applyFill="1" applyBorder="1" applyAlignment="1" applyProtection="1">
      <protection locked="0"/>
    </xf>
    <xf numFmtId="0" fontId="33" fillId="4" borderId="7" xfId="0" applyFont="1" applyFill="1" applyBorder="1" applyAlignment="1" applyProtection="1">
      <alignment vertical="top"/>
      <protection locked="0"/>
    </xf>
    <xf numFmtId="0" fontId="21" fillId="0" borderId="0" xfId="0" applyFont="1" applyBorder="1" applyAlignment="1">
      <alignment horizontal="center"/>
    </xf>
    <xf numFmtId="0" fontId="26" fillId="2" borderId="4" xfId="0" applyFont="1" applyFill="1" applyBorder="1" applyAlignment="1" applyProtection="1">
      <alignment horizontal="center"/>
      <protection hidden="1"/>
    </xf>
    <xf numFmtId="0" fontId="26" fillId="2" borderId="0" xfId="0" applyFont="1" applyFill="1" applyBorder="1" applyAlignment="1" applyProtection="1">
      <alignment horizontal="center"/>
      <protection hidden="1"/>
    </xf>
    <xf numFmtId="0" fontId="26" fillId="2" borderId="5" xfId="0" applyFont="1" applyFill="1" applyBorder="1" applyAlignment="1" applyProtection="1">
      <alignment horizontal="center"/>
      <protection hidden="1"/>
    </xf>
    <xf numFmtId="0" fontId="21" fillId="2" borderId="31" xfId="0" applyFont="1" applyFill="1" applyBorder="1" applyAlignment="1" applyProtection="1">
      <alignment horizontal="left"/>
      <protection hidden="1"/>
    </xf>
    <xf numFmtId="0" fontId="0" fillId="0" borderId="32" xfId="0" applyBorder="1" applyAlignment="1">
      <alignment horizontal="left"/>
    </xf>
    <xf numFmtId="0" fontId="21" fillId="2" borderId="4" xfId="0" applyFont="1" applyFill="1" applyBorder="1" applyAlignment="1" applyProtection="1">
      <alignment horizontal="left"/>
      <protection hidden="1"/>
    </xf>
    <xf numFmtId="0" fontId="0" fillId="0" borderId="0" xfId="0" applyBorder="1" applyAlignment="1">
      <alignment horizontal="left"/>
    </xf>
    <xf numFmtId="0" fontId="21" fillId="2" borderId="1" xfId="0" applyFont="1" applyFill="1" applyBorder="1" applyAlignment="1" applyProtection="1">
      <alignment horizontal="center" vertical="center" wrapText="1"/>
      <protection hidden="1"/>
    </xf>
    <xf numFmtId="0" fontId="21" fillId="2" borderId="3" xfId="0" applyFont="1" applyFill="1" applyBorder="1" applyAlignment="1" applyProtection="1">
      <alignment horizontal="center" vertical="center" wrapText="1"/>
      <protection hidden="1"/>
    </xf>
    <xf numFmtId="0" fontId="28" fillId="7" borderId="79" xfId="6" applyFont="1" applyFill="1" applyBorder="1" applyAlignment="1" applyProtection="1">
      <alignment horizontal="center" vertical="center"/>
    </xf>
    <xf numFmtId="0" fontId="0" fillId="0" borderId="80" xfId="0" applyBorder="1" applyAlignment="1">
      <alignment vertical="center"/>
    </xf>
    <xf numFmtId="0" fontId="0" fillId="0" borderId="81" xfId="0" applyBorder="1" applyAlignment="1">
      <alignment vertical="center"/>
    </xf>
    <xf numFmtId="0" fontId="28" fillId="7" borderId="9" xfId="6" applyFont="1" applyFill="1" applyBorder="1" applyAlignment="1" applyProtection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8" fillId="12" borderId="86" xfId="0" applyFont="1" applyFill="1" applyBorder="1" applyAlignment="1" applyProtection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14" fontId="28" fillId="16" borderId="12" xfId="0" applyNumberFormat="1" applyFont="1" applyFill="1" applyBorder="1" applyAlignment="1" applyProtection="1">
      <alignment horizontal="center" vertical="center"/>
      <protection locked="0"/>
    </xf>
    <xf numFmtId="14" fontId="28" fillId="16" borderId="18" xfId="0" applyNumberFormat="1" applyFont="1" applyFill="1" applyBorder="1" applyAlignment="1" applyProtection="1">
      <alignment horizontal="center" vertical="center"/>
      <protection locked="0"/>
    </xf>
    <xf numFmtId="14" fontId="28" fillId="16" borderId="13" xfId="0" applyNumberFormat="1" applyFont="1" applyFill="1" applyBorder="1" applyAlignment="1" applyProtection="1">
      <alignment horizontal="center" vertical="center"/>
      <protection locked="0"/>
    </xf>
    <xf numFmtId="1" fontId="28" fillId="12" borderId="80" xfId="0" applyNumberFormat="1" applyFont="1" applyFill="1" applyBorder="1" applyAlignment="1" applyProtection="1">
      <alignment horizontal="left" vertical="center"/>
    </xf>
    <xf numFmtId="1" fontId="28" fillId="12" borderId="0" xfId="0" applyNumberFormat="1" applyFont="1" applyFill="1" applyBorder="1" applyAlignment="1" applyProtection="1">
      <alignment horizontal="left" vertical="center"/>
    </xf>
    <xf numFmtId="1" fontId="28" fillId="12" borderId="75" xfId="0" applyNumberFormat="1" applyFont="1" applyFill="1" applyBorder="1" applyAlignment="1" applyProtection="1">
      <alignment horizontal="left" vertical="center"/>
    </xf>
    <xf numFmtId="0" fontId="35" fillId="22" borderId="10" xfId="2" applyFill="1" applyBorder="1" applyAlignment="1" applyProtection="1">
      <alignment horizontal="center"/>
      <protection hidden="1"/>
    </xf>
    <xf numFmtId="0" fontId="35" fillId="22" borderId="10" xfId="2" applyFill="1" applyBorder="1" applyAlignment="1" applyProtection="1">
      <alignment horizontal="center"/>
    </xf>
    <xf numFmtId="0" fontId="35" fillId="22" borderId="11" xfId="2" applyFill="1" applyBorder="1" applyAlignment="1" applyProtection="1">
      <alignment horizontal="center"/>
    </xf>
    <xf numFmtId="0" fontId="84" fillId="8" borderId="0" xfId="0" applyFont="1" applyFill="1" applyBorder="1" applyAlignment="1">
      <alignment horizontal="center" vertical="center" wrapText="1"/>
    </xf>
    <xf numFmtId="0" fontId="28" fillId="12" borderId="91" xfId="0" applyFont="1" applyFill="1" applyBorder="1" applyAlignment="1" applyProtection="1">
      <alignment horizontal="center" vertical="center" wrapText="1"/>
    </xf>
    <xf numFmtId="0" fontId="28" fillId="12" borderId="5" xfId="0" applyFont="1" applyFill="1" applyBorder="1" applyAlignment="1" applyProtection="1">
      <alignment horizontal="center" vertical="center" wrapText="1"/>
    </xf>
    <xf numFmtId="0" fontId="28" fillId="12" borderId="87" xfId="0" applyFont="1" applyFill="1" applyBorder="1" applyAlignment="1" applyProtection="1">
      <alignment horizontal="center" vertical="center" wrapText="1"/>
    </xf>
    <xf numFmtId="0" fontId="28" fillId="12" borderId="24" xfId="0" applyFont="1" applyFill="1" applyBorder="1" applyAlignment="1" applyProtection="1">
      <alignment horizontal="center" vertical="center" wrapText="1"/>
    </xf>
    <xf numFmtId="0" fontId="28" fillId="12" borderId="6" xfId="0" applyFont="1" applyFill="1" applyBorder="1" applyAlignment="1" applyProtection="1">
      <alignment horizontal="center" vertical="center"/>
    </xf>
    <xf numFmtId="0" fontId="28" fillId="12" borderId="7" xfId="0" applyFont="1" applyFill="1" applyBorder="1" applyAlignment="1" applyProtection="1">
      <alignment horizontal="center" vertical="center"/>
    </xf>
    <xf numFmtId="0" fontId="28" fillId="12" borderId="8" xfId="0" applyFont="1" applyFill="1" applyBorder="1" applyAlignment="1" applyProtection="1">
      <alignment horizontal="center" vertical="center"/>
    </xf>
    <xf numFmtId="0" fontId="28" fillId="12" borderId="6" xfId="0" applyFont="1" applyFill="1" applyBorder="1" applyAlignment="1" applyProtection="1">
      <alignment horizontal="center" vertical="center" wrapText="1"/>
    </xf>
    <xf numFmtId="0" fontId="28" fillId="12" borderId="8" xfId="0" applyFont="1" applyFill="1" applyBorder="1" applyAlignment="1" applyProtection="1">
      <alignment horizontal="center" vertical="center" wrapText="1"/>
    </xf>
    <xf numFmtId="0" fontId="28" fillId="12" borderId="19" xfId="0" applyFont="1" applyFill="1" applyBorder="1" applyAlignment="1" applyProtection="1">
      <alignment horizontal="center" vertical="center" wrapText="1"/>
    </xf>
    <xf numFmtId="0" fontId="28" fillId="12" borderId="88" xfId="0" applyFont="1" applyFill="1" applyBorder="1" applyAlignment="1" applyProtection="1">
      <alignment horizontal="center" vertical="center" wrapText="1"/>
    </xf>
    <xf numFmtId="0" fontId="28" fillId="12" borderId="89" xfId="0" applyFont="1" applyFill="1" applyBorder="1" applyAlignment="1" applyProtection="1">
      <alignment horizontal="center" vertical="center" wrapText="1"/>
    </xf>
    <xf numFmtId="0" fontId="108" fillId="6" borderId="10" xfId="0" applyFont="1" applyFill="1" applyBorder="1" applyAlignment="1" applyProtection="1">
      <alignment horizontal="left"/>
    </xf>
    <xf numFmtId="0" fontId="108" fillId="6" borderId="11" xfId="0" applyFont="1" applyFill="1" applyBorder="1" applyAlignment="1" applyProtection="1">
      <alignment horizontal="left"/>
    </xf>
    <xf numFmtId="0" fontId="21" fillId="6" borderId="1" xfId="0" applyFont="1" applyFill="1" applyBorder="1" applyAlignment="1" applyProtection="1">
      <alignment horizontal="center"/>
      <protection locked="0"/>
    </xf>
    <xf numFmtId="0" fontId="21" fillId="6" borderId="2" xfId="0" applyFont="1" applyFill="1" applyBorder="1" applyAlignment="1" applyProtection="1">
      <alignment horizontal="center"/>
      <protection locked="0"/>
    </xf>
    <xf numFmtId="0" fontId="21" fillId="6" borderId="3" xfId="0" applyFont="1" applyFill="1" applyBorder="1" applyAlignment="1" applyProtection="1">
      <alignment horizontal="center"/>
      <protection locked="0"/>
    </xf>
    <xf numFmtId="0" fontId="21" fillId="6" borderId="4" xfId="0" applyFont="1" applyFill="1" applyBorder="1" applyAlignment="1" applyProtection="1">
      <alignment horizontal="center"/>
      <protection locked="0"/>
    </xf>
    <xf numFmtId="0" fontId="21" fillId="6" borderId="0" xfId="0" applyFont="1" applyFill="1" applyBorder="1" applyAlignment="1" applyProtection="1">
      <alignment horizontal="center"/>
      <protection locked="0"/>
    </xf>
    <xf numFmtId="0" fontId="21" fillId="6" borderId="5" xfId="0" applyFont="1" applyFill="1" applyBorder="1" applyAlignment="1" applyProtection="1">
      <alignment horizontal="center"/>
      <protection locked="0"/>
    </xf>
    <xf numFmtId="0" fontId="21" fillId="6" borderId="102" xfId="0" applyFont="1" applyFill="1" applyBorder="1" applyAlignment="1" applyProtection="1">
      <alignment horizontal="center"/>
      <protection locked="0"/>
    </xf>
    <xf numFmtId="0" fontId="21" fillId="6" borderId="80" xfId="0" applyFont="1" applyFill="1" applyBorder="1" applyAlignment="1" applyProtection="1">
      <alignment horizontal="center"/>
      <protection locked="0"/>
    </xf>
    <xf numFmtId="0" fontId="21" fillId="6" borderId="103" xfId="0" applyFont="1" applyFill="1" applyBorder="1" applyAlignment="1" applyProtection="1">
      <alignment horizontal="center"/>
      <protection locked="0"/>
    </xf>
    <xf numFmtId="0" fontId="28" fillId="16" borderId="12" xfId="0" applyFont="1" applyFill="1" applyBorder="1" applyAlignment="1" applyProtection="1">
      <alignment horizontal="center" vertical="center"/>
      <protection locked="0"/>
    </xf>
    <xf numFmtId="0" fontId="28" fillId="16" borderId="18" xfId="0" applyFont="1" applyFill="1" applyBorder="1" applyAlignment="1" applyProtection="1">
      <alignment horizontal="center" vertical="center"/>
      <protection locked="0"/>
    </xf>
    <xf numFmtId="0" fontId="28" fillId="16" borderId="13" xfId="0" applyFont="1" applyFill="1" applyBorder="1" applyAlignment="1" applyProtection="1">
      <alignment horizontal="center" vertical="center"/>
      <protection locked="0"/>
    </xf>
    <xf numFmtId="0" fontId="108" fillId="6" borderId="7" xfId="0" applyFont="1" applyFill="1" applyBorder="1" applyAlignment="1" applyProtection="1">
      <alignment horizontal="left"/>
    </xf>
    <xf numFmtId="0" fontId="108" fillId="6" borderId="78" xfId="0" applyFont="1" applyFill="1" applyBorder="1" applyAlignment="1" applyProtection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0" xfId="0" applyFont="1" applyBorder="1" applyAlignment="1"/>
    <xf numFmtId="0" fontId="33" fillId="2" borderId="12" xfId="0" applyFont="1" applyFill="1" applyBorder="1" applyAlignment="1" applyProtection="1">
      <alignment horizontal="center"/>
      <protection hidden="1"/>
    </xf>
    <xf numFmtId="0" fontId="0" fillId="0" borderId="18" xfId="0" applyBorder="1" applyAlignment="1"/>
    <xf numFmtId="0" fontId="0" fillId="0" borderId="13" xfId="0" applyBorder="1" applyAlignment="1"/>
    <xf numFmtId="0" fontId="53" fillId="3" borderId="0" xfId="0" applyFont="1" applyFill="1" applyBorder="1" applyAlignment="1" applyProtection="1">
      <alignment horizontal="left"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2" xfId="0" applyBorder="1" applyAlignment="1" applyProtection="1">
      <protection hidden="1"/>
    </xf>
    <xf numFmtId="0" fontId="0" fillId="0" borderId="3" xfId="0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5" xfId="0" applyBorder="1" applyAlignment="1" applyProtection="1">
      <protection hidden="1"/>
    </xf>
    <xf numFmtId="0" fontId="0" fillId="0" borderId="0" xfId="0" applyFont="1" applyBorder="1" applyAlignment="1" applyProtection="1">
      <protection hidden="1"/>
    </xf>
    <xf numFmtId="0" fontId="33" fillId="2" borderId="18" xfId="0" applyFont="1" applyFill="1" applyBorder="1" applyAlignment="1" applyProtection="1">
      <alignment horizontal="center"/>
      <protection hidden="1"/>
    </xf>
    <xf numFmtId="0" fontId="33" fillId="2" borderId="13" xfId="0" applyFont="1" applyFill="1" applyBorder="1" applyAlignment="1" applyProtection="1">
      <alignment horizontal="center"/>
      <protection hidden="1"/>
    </xf>
    <xf numFmtId="0" fontId="33" fillId="2" borderId="0" xfId="0" applyFont="1" applyFill="1" applyBorder="1" applyAlignment="1" applyProtection="1">
      <alignment horizontal="center" vertical="center"/>
      <protection hidden="1"/>
    </xf>
    <xf numFmtId="0" fontId="0" fillId="0" borderId="0" xfId="0" applyAlignment="1"/>
    <xf numFmtId="0" fontId="55" fillId="0" borderId="23" xfId="0" applyFont="1" applyBorder="1" applyAlignment="1" applyProtection="1">
      <alignment horizontal="center" vertical="center" textRotation="90" wrapText="1"/>
      <protection hidden="1"/>
    </xf>
    <xf numFmtId="0" fontId="55" fillId="0" borderId="19" xfId="0" applyFont="1" applyBorder="1" applyAlignment="1" applyProtection="1">
      <alignment horizontal="center" vertical="center" textRotation="90" wrapText="1"/>
      <protection hidden="1"/>
    </xf>
    <xf numFmtId="0" fontId="55" fillId="0" borderId="24" xfId="0" applyFont="1" applyBorder="1" applyAlignment="1" applyProtection="1">
      <alignment horizontal="center" vertical="center" textRotation="90" wrapText="1"/>
      <protection hidden="1"/>
    </xf>
    <xf numFmtId="0" fontId="21" fillId="0" borderId="4" xfId="0" applyFont="1" applyFill="1" applyBorder="1" applyAlignment="1" applyProtection="1">
      <alignment horizontal="center"/>
      <protection hidden="1"/>
    </xf>
    <xf numFmtId="0" fontId="21" fillId="0" borderId="5" xfId="0" applyFont="1" applyFill="1" applyBorder="1" applyAlignment="1" applyProtection="1">
      <alignment horizontal="center"/>
      <protection hidden="1"/>
    </xf>
    <xf numFmtId="49" fontId="0" fillId="0" borderId="6" xfId="0" applyNumberFormat="1" applyFill="1" applyBorder="1" applyAlignment="1" applyProtection="1">
      <alignment horizontal="center"/>
      <protection hidden="1"/>
    </xf>
    <xf numFmtId="49" fontId="0" fillId="0" borderId="8" xfId="0" applyNumberFormat="1" applyFill="1" applyBorder="1" applyAlignment="1" applyProtection="1">
      <alignment horizontal="center"/>
      <protection hidden="1"/>
    </xf>
    <xf numFmtId="0" fontId="33" fillId="3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21" fillId="0" borderId="1" xfId="0" applyFont="1" applyFill="1" applyBorder="1" applyAlignment="1" applyProtection="1">
      <alignment horizontal="center"/>
      <protection hidden="1"/>
    </xf>
    <xf numFmtId="0" fontId="21" fillId="0" borderId="3" xfId="0" applyFont="1" applyFill="1" applyBorder="1" applyAlignment="1" applyProtection="1">
      <alignment horizontal="center"/>
      <protection hidden="1"/>
    </xf>
    <xf numFmtId="0" fontId="33" fillId="14" borderId="23" xfId="0" applyFont="1" applyFill="1" applyBorder="1" applyAlignment="1" applyProtection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21" fillId="0" borderId="12" xfId="0" applyFont="1" applyBorder="1" applyAlignment="1" applyProtection="1">
      <alignment horizontal="left" vertical="center"/>
      <protection hidden="1"/>
    </xf>
    <xf numFmtId="0" fontId="21" fillId="0" borderId="18" xfId="0" applyFont="1" applyBorder="1" applyAlignment="1" applyProtection="1">
      <alignment horizontal="left" vertical="center"/>
      <protection hidden="1"/>
    </xf>
    <xf numFmtId="0" fontId="21" fillId="0" borderId="13" xfId="0" applyFont="1" applyBorder="1" applyAlignment="1" applyProtection="1">
      <alignment horizontal="left" vertical="center"/>
      <protection hidden="1"/>
    </xf>
    <xf numFmtId="167" fontId="21" fillId="3" borderId="12" xfId="1" applyNumberFormat="1" applyFont="1" applyFill="1" applyBorder="1" applyAlignment="1" applyProtection="1">
      <alignment horizontal="right" vertical="center"/>
      <protection locked="0"/>
    </xf>
    <xf numFmtId="167" fontId="21" fillId="3" borderId="13" xfId="1" applyNumberFormat="1" applyFont="1" applyFill="1" applyBorder="1" applyAlignment="1" applyProtection="1">
      <alignment horizontal="right" vertical="center"/>
      <protection locked="0"/>
    </xf>
    <xf numFmtId="0" fontId="33" fillId="0" borderId="12" xfId="0" applyFont="1" applyFill="1" applyBorder="1" applyAlignment="1" applyProtection="1">
      <alignment horizontal="left" vertical="center"/>
      <protection hidden="1"/>
    </xf>
    <xf numFmtId="0" fontId="33" fillId="0" borderId="18" xfId="0" applyFont="1" applyFill="1" applyBorder="1" applyAlignment="1" applyProtection="1">
      <alignment horizontal="left" vertical="center"/>
      <protection hidden="1"/>
    </xf>
    <xf numFmtId="0" fontId="33" fillId="0" borderId="13" xfId="0" applyFont="1" applyFill="1" applyBorder="1" applyAlignment="1" applyProtection="1">
      <alignment horizontal="left" vertical="center"/>
      <protection hidden="1"/>
    </xf>
    <xf numFmtId="167" fontId="33" fillId="3" borderId="12" xfId="1" applyNumberFormat="1" applyFont="1" applyFill="1" applyBorder="1" applyAlignment="1" applyProtection="1">
      <alignment horizontal="right" vertical="center"/>
      <protection locked="0"/>
    </xf>
    <xf numFmtId="167" fontId="33" fillId="3" borderId="13" xfId="1" applyNumberFormat="1" applyFont="1" applyFill="1" applyBorder="1" applyAlignment="1" applyProtection="1">
      <alignment horizontal="right" vertical="center"/>
      <protection locked="0"/>
    </xf>
    <xf numFmtId="0" fontId="27" fillId="0" borderId="39" xfId="0" applyFont="1" applyBorder="1" applyAlignment="1" applyProtection="1">
      <alignment horizontal="left" vertical="center"/>
      <protection hidden="1"/>
    </xf>
    <xf numFmtId="0" fontId="27" fillId="0" borderId="40" xfId="0" applyFont="1" applyBorder="1" applyAlignment="1" applyProtection="1">
      <alignment horizontal="left" vertical="center"/>
      <protection hidden="1"/>
    </xf>
    <xf numFmtId="0" fontId="27" fillId="0" borderId="41" xfId="0" applyFont="1" applyBorder="1" applyAlignment="1" applyProtection="1">
      <alignment horizontal="left" vertical="center"/>
      <protection hidden="1"/>
    </xf>
    <xf numFmtId="167" fontId="28" fillId="7" borderId="39" xfId="1" applyNumberFormat="1" applyFont="1" applyFill="1" applyBorder="1" applyAlignment="1" applyProtection="1">
      <alignment horizontal="right" vertical="center"/>
      <protection hidden="1"/>
    </xf>
    <xf numFmtId="167" fontId="28" fillId="7" borderId="41" xfId="1" applyNumberFormat="1" applyFont="1" applyFill="1" applyBorder="1" applyAlignment="1" applyProtection="1">
      <alignment horizontal="right" vertical="center"/>
      <protection hidden="1"/>
    </xf>
    <xf numFmtId="0" fontId="21" fillId="0" borderId="6" xfId="0" applyFont="1" applyFill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left" vertical="center"/>
      <protection hidden="1"/>
    </xf>
    <xf numFmtId="0" fontId="0" fillId="0" borderId="18" xfId="0" applyBorder="1" applyAlignment="1" applyProtection="1">
      <alignment horizontal="left" vertical="center"/>
      <protection hidden="1"/>
    </xf>
    <xf numFmtId="0" fontId="0" fillId="0" borderId="13" xfId="0" applyBorder="1" applyAlignment="1" applyProtection="1">
      <alignment horizontal="left" vertical="center"/>
      <protection hidden="1"/>
    </xf>
    <xf numFmtId="167" fontId="21" fillId="3" borderId="14" xfId="1" applyNumberFormat="1" applyFont="1" applyFill="1" applyBorder="1" applyAlignment="1" applyProtection="1">
      <alignment horizontal="right" vertical="center"/>
      <protection locked="0"/>
    </xf>
    <xf numFmtId="0" fontId="16" fillId="0" borderId="12" xfId="0" applyFont="1" applyBorder="1" applyAlignment="1" applyProtection="1">
      <alignment horizontal="left" vertical="center"/>
      <protection hidden="1"/>
    </xf>
    <xf numFmtId="167" fontId="28" fillId="7" borderId="42" xfId="1" applyNumberFormat="1" applyFont="1" applyFill="1" applyBorder="1" applyAlignment="1" applyProtection="1">
      <alignment horizontal="right" vertical="center"/>
      <protection hidden="1"/>
    </xf>
    <xf numFmtId="0" fontId="21" fillId="7" borderId="12" xfId="0" applyFont="1" applyFill="1" applyBorder="1" applyAlignment="1" applyProtection="1">
      <alignment horizontal="left" vertical="center"/>
      <protection hidden="1"/>
    </xf>
    <xf numFmtId="0" fontId="21" fillId="7" borderId="18" xfId="0" applyFont="1" applyFill="1" applyBorder="1" applyAlignment="1" applyProtection="1">
      <alignment horizontal="left" vertical="center"/>
      <protection hidden="1"/>
    </xf>
    <xf numFmtId="0" fontId="21" fillId="7" borderId="13" xfId="0" applyFont="1" applyFill="1" applyBorder="1" applyAlignment="1" applyProtection="1">
      <alignment horizontal="left" vertical="center"/>
      <protection hidden="1"/>
    </xf>
    <xf numFmtId="49" fontId="20" fillId="6" borderId="0" xfId="0" applyNumberFormat="1" applyFont="1" applyFill="1" applyBorder="1" applyAlignment="1" applyProtection="1">
      <alignment horizontal="left" wrapText="1"/>
      <protection hidden="1"/>
    </xf>
    <xf numFmtId="49" fontId="21" fillId="6" borderId="0" xfId="0" applyNumberFormat="1" applyFont="1" applyFill="1" applyBorder="1" applyAlignment="1" applyProtection="1">
      <alignment horizontal="left" wrapText="1"/>
      <protection hidden="1"/>
    </xf>
    <xf numFmtId="0" fontId="97" fillId="0" borderId="0" xfId="0" applyFont="1" applyBorder="1" applyAlignment="1" applyProtection="1">
      <alignment horizontal="center" vertical="center" wrapText="1"/>
      <protection hidden="1"/>
    </xf>
    <xf numFmtId="14" fontId="26" fillId="2" borderId="7" xfId="0" applyNumberFormat="1" applyFont="1" applyFill="1" applyBorder="1" applyAlignment="1" applyProtection="1">
      <alignment horizontal="left"/>
      <protection hidden="1"/>
    </xf>
    <xf numFmtId="0" fontId="27" fillId="8" borderId="0" xfId="0" applyFont="1" applyFill="1" applyBorder="1" applyAlignment="1" applyProtection="1">
      <alignment horizontal="center" vertical="center"/>
      <protection hidden="1"/>
    </xf>
    <xf numFmtId="10" fontId="28" fillId="8" borderId="0" xfId="0" applyNumberFormat="1" applyFont="1" applyFill="1" applyBorder="1" applyAlignment="1" applyProtection="1">
      <alignment horizontal="center"/>
      <protection hidden="1"/>
    </xf>
    <xf numFmtId="2" fontId="58" fillId="15" borderId="70" xfId="0" applyNumberFormat="1" applyFont="1" applyFill="1" applyBorder="1" applyAlignment="1" applyProtection="1">
      <alignment horizontal="center" vertical="center"/>
      <protection hidden="1"/>
    </xf>
    <xf numFmtId="2" fontId="58" fillId="15" borderId="72" xfId="0" applyNumberFormat="1" applyFont="1" applyFill="1" applyBorder="1" applyAlignment="1" applyProtection="1">
      <alignment horizontal="center" vertical="center"/>
      <protection hidden="1"/>
    </xf>
    <xf numFmtId="2" fontId="58" fillId="15" borderId="71" xfId="0" applyNumberFormat="1" applyFont="1" applyFill="1" applyBorder="1" applyAlignment="1" applyProtection="1">
      <alignment horizontal="center" vertical="center"/>
      <protection hidden="1"/>
    </xf>
    <xf numFmtId="0" fontId="21" fillId="3" borderId="7" xfId="0" applyFont="1" applyFill="1" applyBorder="1" applyAlignment="1" applyProtection="1">
      <alignment horizontal="left"/>
      <protection locked="0"/>
    </xf>
    <xf numFmtId="170" fontId="58" fillId="7" borderId="6" xfId="0" applyNumberFormat="1" applyFont="1" applyFill="1" applyBorder="1" applyAlignment="1" applyProtection="1">
      <alignment horizontal="center"/>
      <protection hidden="1"/>
    </xf>
    <xf numFmtId="170" fontId="58" fillId="7" borderId="8" xfId="0" applyNumberFormat="1" applyFont="1" applyFill="1" applyBorder="1" applyAlignment="1" applyProtection="1">
      <alignment horizontal="center"/>
      <protection hidden="1"/>
    </xf>
    <xf numFmtId="0" fontId="35" fillId="0" borderId="10" xfId="2" applyBorder="1" applyAlignment="1" applyProtection="1"/>
    <xf numFmtId="0" fontId="35" fillId="0" borderId="11" xfId="2" applyBorder="1" applyAlignment="1" applyProtection="1"/>
    <xf numFmtId="0" fontId="33" fillId="0" borderId="2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22" fillId="9" borderId="7" xfId="0" applyFont="1" applyFill="1" applyBorder="1" applyAlignment="1" applyProtection="1">
      <protection locked="0"/>
    </xf>
    <xf numFmtId="0" fontId="55" fillId="0" borderId="0" xfId="0" applyFont="1" applyBorder="1" applyAlignment="1">
      <alignment horizontal="center" wrapText="1"/>
    </xf>
    <xf numFmtId="0" fontId="33" fillId="0" borderId="0" xfId="0" applyFont="1" applyBorder="1" applyAlignment="1">
      <alignment horizontal="left" vertical="top"/>
    </xf>
    <xf numFmtId="0" fontId="33" fillId="0" borderId="0" xfId="0" applyFont="1" applyBorder="1" applyAlignment="1">
      <alignment horizontal="left"/>
    </xf>
    <xf numFmtId="0" fontId="0" fillId="9" borderId="0" xfId="0" applyFont="1" applyFill="1" applyBorder="1" applyAlignment="1" applyProtection="1">
      <alignment horizontal="center" vertical="top" wrapText="1"/>
      <protection locked="0"/>
    </xf>
    <xf numFmtId="0" fontId="22" fillId="9" borderId="0" xfId="0" applyFont="1" applyFill="1" applyBorder="1" applyAlignment="1" applyProtection="1">
      <alignment horizontal="center" vertical="top" wrapText="1"/>
      <protection locked="0"/>
    </xf>
    <xf numFmtId="0" fontId="22" fillId="6" borderId="0" xfId="0" applyFont="1" applyFill="1" applyBorder="1" applyAlignment="1">
      <alignment horizontal="center"/>
    </xf>
    <xf numFmtId="0" fontId="67" fillId="2" borderId="1" xfId="0" applyFont="1" applyFill="1" applyBorder="1" applyAlignment="1">
      <alignment horizontal="center"/>
    </xf>
    <xf numFmtId="0" fontId="67" fillId="2" borderId="2" xfId="0" applyFont="1" applyFill="1" applyBorder="1" applyAlignment="1">
      <alignment horizontal="center"/>
    </xf>
    <xf numFmtId="0" fontId="68" fillId="0" borderId="3" xfId="0" applyFont="1" applyBorder="1" applyAlignment="1">
      <alignment horizontal="center"/>
    </xf>
    <xf numFmtId="0" fontId="68" fillId="2" borderId="4" xfId="0" applyFont="1" applyFill="1" applyBorder="1" applyAlignment="1">
      <alignment horizontal="center" vertical="center"/>
    </xf>
    <xf numFmtId="0" fontId="68" fillId="2" borderId="0" xfId="0" applyFont="1" applyFill="1" applyBorder="1" applyAlignment="1">
      <alignment horizontal="center" vertical="center"/>
    </xf>
    <xf numFmtId="0" fontId="68" fillId="0" borderId="5" xfId="0" applyFont="1" applyBorder="1" applyAlignment="1">
      <alignment horizontal="center" vertical="center"/>
    </xf>
    <xf numFmtId="0" fontId="67" fillId="2" borderId="4" xfId="0" applyFont="1" applyFill="1" applyBorder="1" applyAlignment="1">
      <alignment horizontal="center"/>
    </xf>
    <xf numFmtId="0" fontId="67" fillId="2" borderId="0" xfId="0" applyFont="1" applyFill="1" applyBorder="1" applyAlignment="1">
      <alignment horizontal="center"/>
    </xf>
    <xf numFmtId="0" fontId="68" fillId="0" borderId="5" xfId="0" applyFont="1" applyBorder="1" applyAlignment="1">
      <alignment horizontal="center"/>
    </xf>
    <xf numFmtId="0" fontId="54" fillId="0" borderId="0" xfId="0" applyFont="1" applyBorder="1" applyAlignment="1">
      <alignment horizontal="center"/>
    </xf>
    <xf numFmtId="0" fontId="54" fillId="0" borderId="52" xfId="0" applyFont="1" applyBorder="1" applyAlignment="1">
      <alignment horizontal="center"/>
    </xf>
    <xf numFmtId="0" fontId="54" fillId="0" borderId="53" xfId="0" applyFont="1" applyBorder="1" applyAlignment="1">
      <alignment horizontal="center"/>
    </xf>
    <xf numFmtId="0" fontId="24" fillId="26" borderId="9" xfId="0" applyFont="1" applyFill="1" applyBorder="1" applyAlignment="1">
      <alignment horizontal="center" vertical="center"/>
    </xf>
    <xf numFmtId="0" fontId="24" fillId="26" borderId="10" xfId="0" applyFont="1" applyFill="1" applyBorder="1" applyAlignment="1">
      <alignment horizontal="center" vertical="center"/>
    </xf>
    <xf numFmtId="0" fontId="24" fillId="26" borderId="106" xfId="0" applyFont="1" applyFill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146" fillId="0" borderId="0" xfId="0" applyFont="1" applyAlignment="1">
      <alignment vertical="center"/>
    </xf>
    <xf numFmtId="0" fontId="147" fillId="0" borderId="0" xfId="0" applyFont="1" applyAlignment="1">
      <alignment vertical="center" wrapText="1"/>
    </xf>
    <xf numFmtId="0" fontId="145" fillId="0" borderId="0" xfId="0" applyFont="1" applyAlignment="1">
      <alignment vertical="center" wrapText="1"/>
    </xf>
    <xf numFmtId="0" fontId="27" fillId="0" borderId="66" xfId="0" applyFont="1" applyBorder="1" applyAlignment="1">
      <alignment vertical="center" wrapText="1"/>
    </xf>
    <xf numFmtId="0" fontId="27" fillId="0" borderId="73" xfId="0" applyFont="1" applyBorder="1" applyAlignment="1">
      <alignment vertical="center" wrapText="1"/>
    </xf>
    <xf numFmtId="0" fontId="27" fillId="0" borderId="74" xfId="0" applyFont="1" applyBorder="1" applyAlignment="1">
      <alignment vertical="center" wrapText="1"/>
    </xf>
    <xf numFmtId="0" fontId="9" fillId="0" borderId="66" xfId="0" applyFont="1" applyBorder="1" applyAlignment="1">
      <alignment vertical="center" wrapText="1"/>
    </xf>
    <xf numFmtId="0" fontId="9" fillId="0" borderId="73" xfId="0" applyFont="1" applyBorder="1" applyAlignment="1">
      <alignment vertical="center" wrapText="1"/>
    </xf>
    <xf numFmtId="0" fontId="9" fillId="0" borderId="74" xfId="0" applyFont="1" applyBorder="1" applyAlignment="1">
      <alignment vertical="center" wrapText="1"/>
    </xf>
    <xf numFmtId="0" fontId="145" fillId="0" borderId="66" xfId="0" applyFont="1" applyBorder="1" applyAlignment="1">
      <alignment vertical="top" wrapText="1"/>
    </xf>
    <xf numFmtId="0" fontId="145" fillId="0" borderId="74" xfId="0" applyFont="1" applyBorder="1" applyAlignment="1">
      <alignment vertical="top" wrapText="1"/>
    </xf>
    <xf numFmtId="0" fontId="25" fillId="2" borderId="1" xfId="0" applyFont="1" applyFill="1" applyBorder="1" applyAlignment="1">
      <alignment wrapText="1"/>
    </xf>
    <xf numFmtId="0" fontId="25" fillId="2" borderId="2" xfId="0" applyFont="1" applyFill="1" applyBorder="1" applyAlignment="1"/>
    <xf numFmtId="0" fontId="25" fillId="2" borderId="3" xfId="0" applyFont="1" applyFill="1" applyBorder="1" applyAlignment="1"/>
    <xf numFmtId="0" fontId="25" fillId="2" borderId="4" xfId="0" applyFont="1" applyFill="1" applyBorder="1" applyAlignment="1"/>
    <xf numFmtId="0" fontId="25" fillId="2" borderId="0" xfId="0" applyFont="1" applyFill="1" applyBorder="1" applyAlignment="1"/>
    <xf numFmtId="0" fontId="25" fillId="2" borderId="5" xfId="0" applyFont="1" applyFill="1" applyBorder="1" applyAlignment="1"/>
    <xf numFmtId="0" fontId="25" fillId="2" borderId="6" xfId="0" applyFont="1" applyFill="1" applyBorder="1" applyAlignment="1"/>
    <xf numFmtId="0" fontId="25" fillId="2" borderId="7" xfId="0" applyFont="1" applyFill="1" applyBorder="1" applyAlignment="1"/>
    <xf numFmtId="0" fontId="25" fillId="2" borderId="8" xfId="0" applyFont="1" applyFill="1" applyBorder="1" applyAlignment="1"/>
    <xf numFmtId="0" fontId="22" fillId="6" borderId="4" xfId="0" applyFont="1" applyFill="1" applyBorder="1" applyAlignment="1"/>
    <xf numFmtId="0" fontId="135" fillId="25" borderId="0" xfId="19" applyFont="1" applyFill="1" applyAlignment="1" applyProtection="1">
      <alignment horizontal="center" vertical="center" wrapText="1"/>
    </xf>
    <xf numFmtId="0" fontId="0" fillId="0" borderId="0" xfId="0" applyFill="1"/>
    <xf numFmtId="1" fontId="65" fillId="0" borderId="25" xfId="0" applyNumberFormat="1" applyFont="1" applyFill="1" applyBorder="1" applyAlignment="1" applyProtection="1">
      <alignment horizontal="center"/>
      <protection locked="0"/>
    </xf>
    <xf numFmtId="1" fontId="65" fillId="0" borderId="28" xfId="0" applyNumberFormat="1" applyFont="1" applyFill="1" applyBorder="1" applyAlignment="1" applyProtection="1">
      <alignment horizontal="center"/>
      <protection locked="0"/>
    </xf>
    <xf numFmtId="1" fontId="65" fillId="0" borderId="31" xfId="0" applyNumberFormat="1" applyFont="1" applyFill="1" applyBorder="1" applyAlignment="1" applyProtection="1">
      <alignment horizontal="center"/>
      <protection locked="0"/>
    </xf>
    <xf numFmtId="14" fontId="1" fillId="0" borderId="14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</cellXfs>
  <cellStyles count="31">
    <cellStyle name="40 % - Akzent1 2" xfId="20"/>
    <cellStyle name="40 % - Akzent3" xfId="6" builtinId="39"/>
    <cellStyle name="40 % - Akzent3 2" xfId="21"/>
    <cellStyle name="40% - Akzent1 2" xfId="8"/>
    <cellStyle name="40% - Akzent3 2" xfId="9"/>
    <cellStyle name="Datum" xfId="10"/>
    <cellStyle name="Datum 2" xfId="22"/>
    <cellStyle name="Dezimal [0] 2" xfId="23"/>
    <cellStyle name="Eingabe 2" xfId="5"/>
    <cellStyle name="Eingabe 2 2" xfId="11"/>
    <cellStyle name="Eingabe 3" xfId="12"/>
    <cellStyle name="Formelfeld" xfId="13"/>
    <cellStyle name="Formular" xfId="14"/>
    <cellStyle name="Komma" xfId="1" builtinId="3"/>
    <cellStyle name="Komma 2" xfId="24"/>
    <cellStyle name="Link" xfId="2" builtinId="8"/>
    <cellStyle name="Link 2" xfId="25"/>
    <cellStyle name="Prozent" xfId="4" builtinId="5"/>
    <cellStyle name="Prozent 2" xfId="7"/>
    <cellStyle name="Prozent 2 2" xfId="26"/>
    <cellStyle name="Standard" xfId="0" builtinId="0"/>
    <cellStyle name="Standard 2" xfId="15"/>
    <cellStyle name="Standard 2 2" xfId="27"/>
    <cellStyle name="Standard 3" xfId="28"/>
    <cellStyle name="Standard 4" xfId="19"/>
    <cellStyle name="Stunden" xfId="16"/>
    <cellStyle name="Text" xfId="17"/>
    <cellStyle name="VZK" xfId="18"/>
    <cellStyle name="Währung" xfId="3" builtinId="4"/>
    <cellStyle name="Währung [0] 2" xfId="30"/>
    <cellStyle name="Währung 2" xfId="29"/>
  </cellStyles>
  <dxfs count="90">
    <dxf>
      <font>
        <b/>
        <i val="0"/>
        <color auto="1"/>
      </font>
      <fill>
        <patternFill>
          <fgColor auto="1"/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fgColor auto="1"/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fgColor auto="1"/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/>
        <right/>
        <bottom/>
        <vertical/>
        <horizontal/>
      </border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</dxf>
    <dxf>
      <font>
        <color auto="1"/>
      </font>
      <fill>
        <patternFill>
          <bgColor theme="0" tint="-4.9989318521683403E-2"/>
        </patternFill>
      </fill>
      <border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4.9989318521683403E-2"/>
        </patternFill>
      </fill>
      <border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4.9989318521683403E-2"/>
        </patternFill>
      </fill>
      <border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4.9989318521683403E-2"/>
        </patternFill>
      </fill>
      <border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4.9989318521683403E-2"/>
        </patternFill>
      </fill>
      <border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4.9989318521683403E-2"/>
        </patternFill>
      </fill>
      <border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4.9989318521683403E-2"/>
        </patternFill>
      </fill>
      <border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4.9989318521683403E-2"/>
        </patternFill>
      </fill>
      <border>
        <bottom style="thin">
          <color auto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/>
        <right/>
        <top/>
        <bottom/>
        <vertical/>
        <horizontal/>
      </border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</dxf>
    <dxf>
      <font>
        <color theme="0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</dxf>
    <dxf>
      <font>
        <color auto="1"/>
      </font>
      <border>
        <right style="thin">
          <color auto="1"/>
        </right>
        <vertical/>
        <horizontal/>
      </border>
    </dxf>
    <dxf>
      <font>
        <color auto="1"/>
      </font>
      <fill>
        <patternFill>
          <bgColor rgb="FFFBFD95"/>
        </patternFill>
      </fill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 tint="-4.9989318521683403E-2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ellenformat 1" pivot="0" count="2">
      <tableStyleElement type="wholeTable" dxfId="89"/>
      <tableStyleElement type="totalRow" dxfId="88"/>
    </tableStyle>
  </tableStyles>
  <colors>
    <mruColors>
      <color rgb="FF99CCFF"/>
      <color rgb="FF660066"/>
      <color rgb="FF000066"/>
      <color rgb="FF09D2E7"/>
      <color rgb="FFFFEA97"/>
      <color rgb="FFFF00FF"/>
      <color rgb="FFF2F2F2"/>
      <color rgb="FFFFF4CA"/>
      <color rgb="FFFFFFCC"/>
      <color rgb="FFFBFD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828675</xdr:colOff>
          <xdr:row>40</xdr:row>
          <xdr:rowOff>38100</xdr:rowOff>
        </xdr:from>
        <xdr:to>
          <xdr:col>9</xdr:col>
          <xdr:colOff>66675</xdr:colOff>
          <xdr:row>42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44</xdr:row>
          <xdr:rowOff>123825</xdr:rowOff>
        </xdr:from>
        <xdr:to>
          <xdr:col>12</xdr:col>
          <xdr:colOff>466725</xdr:colOff>
          <xdr:row>46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661146</xdr:colOff>
      <xdr:row>18</xdr:row>
      <xdr:rowOff>134471</xdr:rowOff>
    </xdr:from>
    <xdr:to>
      <xdr:col>12</xdr:col>
      <xdr:colOff>799113</xdr:colOff>
      <xdr:row>18</xdr:row>
      <xdr:rowOff>619103</xdr:rowOff>
    </xdr:to>
    <xdr:sp macro="" textlink="">
      <xdr:nvSpPr>
        <xdr:cNvPr id="2" name="Pfeil nach rechts 1"/>
        <xdr:cNvSpPr/>
      </xdr:nvSpPr>
      <xdr:spPr>
        <a:xfrm>
          <a:off x="13434171" y="3933825"/>
          <a:ext cx="976167" cy="0"/>
        </a:xfrm>
        <a:prstGeom prst="righ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33</xdr:row>
          <xdr:rowOff>28575</xdr:rowOff>
        </xdr:from>
        <xdr:to>
          <xdr:col>14</xdr:col>
          <xdr:colOff>314325</xdr:colOff>
          <xdr:row>34</xdr:row>
          <xdr:rowOff>28575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34</xdr:row>
          <xdr:rowOff>28575</xdr:rowOff>
        </xdr:from>
        <xdr:to>
          <xdr:col>14</xdr:col>
          <xdr:colOff>314325</xdr:colOff>
          <xdr:row>35</xdr:row>
          <xdr:rowOff>28575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35</xdr:row>
          <xdr:rowOff>28575</xdr:rowOff>
        </xdr:from>
        <xdr:to>
          <xdr:col>14</xdr:col>
          <xdr:colOff>314325</xdr:colOff>
          <xdr:row>36</xdr:row>
          <xdr:rowOff>28575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36</xdr:row>
          <xdr:rowOff>28575</xdr:rowOff>
        </xdr:from>
        <xdr:to>
          <xdr:col>14</xdr:col>
          <xdr:colOff>314325</xdr:colOff>
          <xdr:row>37</xdr:row>
          <xdr:rowOff>28575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37</xdr:row>
          <xdr:rowOff>28575</xdr:rowOff>
        </xdr:from>
        <xdr:to>
          <xdr:col>14</xdr:col>
          <xdr:colOff>314325</xdr:colOff>
          <xdr:row>38</xdr:row>
          <xdr:rowOff>28575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38</xdr:row>
          <xdr:rowOff>28575</xdr:rowOff>
        </xdr:from>
        <xdr:to>
          <xdr:col>14</xdr:col>
          <xdr:colOff>314325</xdr:colOff>
          <xdr:row>39</xdr:row>
          <xdr:rowOff>28575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39</xdr:row>
          <xdr:rowOff>28575</xdr:rowOff>
        </xdr:from>
        <xdr:to>
          <xdr:col>14</xdr:col>
          <xdr:colOff>314325</xdr:colOff>
          <xdr:row>40</xdr:row>
          <xdr:rowOff>28575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40</xdr:row>
          <xdr:rowOff>28575</xdr:rowOff>
        </xdr:from>
        <xdr:to>
          <xdr:col>14</xdr:col>
          <xdr:colOff>314325</xdr:colOff>
          <xdr:row>41</xdr:row>
          <xdr:rowOff>28575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41</xdr:row>
          <xdr:rowOff>28575</xdr:rowOff>
        </xdr:from>
        <xdr:to>
          <xdr:col>14</xdr:col>
          <xdr:colOff>314325</xdr:colOff>
          <xdr:row>42</xdr:row>
          <xdr:rowOff>28575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51</xdr:row>
          <xdr:rowOff>28575</xdr:rowOff>
        </xdr:from>
        <xdr:to>
          <xdr:col>14</xdr:col>
          <xdr:colOff>314325</xdr:colOff>
          <xdr:row>52</xdr:row>
          <xdr:rowOff>28575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52</xdr:row>
          <xdr:rowOff>28575</xdr:rowOff>
        </xdr:from>
        <xdr:to>
          <xdr:col>14</xdr:col>
          <xdr:colOff>314325</xdr:colOff>
          <xdr:row>53</xdr:row>
          <xdr:rowOff>28575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53</xdr:row>
          <xdr:rowOff>28575</xdr:rowOff>
        </xdr:from>
        <xdr:to>
          <xdr:col>14</xdr:col>
          <xdr:colOff>314325</xdr:colOff>
          <xdr:row>54</xdr:row>
          <xdr:rowOff>28575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54</xdr:row>
          <xdr:rowOff>28575</xdr:rowOff>
        </xdr:from>
        <xdr:to>
          <xdr:col>14</xdr:col>
          <xdr:colOff>314325</xdr:colOff>
          <xdr:row>55</xdr:row>
          <xdr:rowOff>28575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55</xdr:row>
          <xdr:rowOff>28575</xdr:rowOff>
        </xdr:from>
        <xdr:to>
          <xdr:col>14</xdr:col>
          <xdr:colOff>314325</xdr:colOff>
          <xdr:row>56</xdr:row>
          <xdr:rowOff>28575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56</xdr:row>
          <xdr:rowOff>28575</xdr:rowOff>
        </xdr:from>
        <xdr:to>
          <xdr:col>14</xdr:col>
          <xdr:colOff>314325</xdr:colOff>
          <xdr:row>57</xdr:row>
          <xdr:rowOff>28575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58</xdr:row>
          <xdr:rowOff>28575</xdr:rowOff>
        </xdr:from>
        <xdr:to>
          <xdr:col>14</xdr:col>
          <xdr:colOff>314325</xdr:colOff>
          <xdr:row>59</xdr:row>
          <xdr:rowOff>28575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32</xdr:row>
          <xdr:rowOff>28575</xdr:rowOff>
        </xdr:from>
        <xdr:to>
          <xdr:col>14</xdr:col>
          <xdr:colOff>314325</xdr:colOff>
          <xdr:row>33</xdr:row>
          <xdr:rowOff>28575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11</xdr:row>
          <xdr:rowOff>0</xdr:rowOff>
        </xdr:from>
        <xdr:to>
          <xdr:col>3</xdr:col>
          <xdr:colOff>990600</xdr:colOff>
          <xdr:row>12</xdr:row>
          <xdr:rowOff>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13</xdr:row>
          <xdr:rowOff>0</xdr:rowOff>
        </xdr:from>
        <xdr:to>
          <xdr:col>3</xdr:col>
          <xdr:colOff>990600</xdr:colOff>
          <xdr:row>14</xdr:row>
          <xdr:rowOff>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15</xdr:row>
          <xdr:rowOff>0</xdr:rowOff>
        </xdr:from>
        <xdr:to>
          <xdr:col>3</xdr:col>
          <xdr:colOff>990600</xdr:colOff>
          <xdr:row>16</xdr:row>
          <xdr:rowOff>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17</xdr:row>
          <xdr:rowOff>0</xdr:rowOff>
        </xdr:from>
        <xdr:to>
          <xdr:col>3</xdr:col>
          <xdr:colOff>990600</xdr:colOff>
          <xdr:row>18</xdr:row>
          <xdr:rowOff>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19</xdr:row>
          <xdr:rowOff>0</xdr:rowOff>
        </xdr:from>
        <xdr:to>
          <xdr:col>3</xdr:col>
          <xdr:colOff>990600</xdr:colOff>
          <xdr:row>20</xdr:row>
          <xdr:rowOff>9525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21</xdr:row>
          <xdr:rowOff>0</xdr:rowOff>
        </xdr:from>
        <xdr:to>
          <xdr:col>3</xdr:col>
          <xdr:colOff>990600</xdr:colOff>
          <xdr:row>22</xdr:row>
          <xdr:rowOff>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21</xdr:row>
          <xdr:rowOff>0</xdr:rowOff>
        </xdr:from>
        <xdr:to>
          <xdr:col>9</xdr:col>
          <xdr:colOff>295275</xdr:colOff>
          <xdr:row>22</xdr:row>
          <xdr:rowOff>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914400</xdr:colOff>
          <xdr:row>20</xdr:row>
          <xdr:rowOff>28575</xdr:rowOff>
        </xdr:from>
        <xdr:to>
          <xdr:col>10</xdr:col>
          <xdr:colOff>28575</xdr:colOff>
          <xdr:row>21</xdr:row>
          <xdr:rowOff>171450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21</xdr:row>
          <xdr:rowOff>0</xdr:rowOff>
        </xdr:from>
        <xdr:to>
          <xdr:col>3</xdr:col>
          <xdr:colOff>914400</xdr:colOff>
          <xdr:row>22</xdr:row>
          <xdr:rowOff>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19</xdr:row>
          <xdr:rowOff>0</xdr:rowOff>
        </xdr:from>
        <xdr:to>
          <xdr:col>9</xdr:col>
          <xdr:colOff>295275</xdr:colOff>
          <xdr:row>20</xdr:row>
          <xdr:rowOff>9525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914400</xdr:colOff>
          <xdr:row>18</xdr:row>
          <xdr:rowOff>28575</xdr:rowOff>
        </xdr:from>
        <xdr:to>
          <xdr:col>10</xdr:col>
          <xdr:colOff>28575</xdr:colOff>
          <xdr:row>20</xdr:row>
          <xdr:rowOff>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17</xdr:row>
          <xdr:rowOff>0</xdr:rowOff>
        </xdr:from>
        <xdr:to>
          <xdr:col>9</xdr:col>
          <xdr:colOff>295275</xdr:colOff>
          <xdr:row>18</xdr:row>
          <xdr:rowOff>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914400</xdr:colOff>
          <xdr:row>16</xdr:row>
          <xdr:rowOff>28575</xdr:rowOff>
        </xdr:from>
        <xdr:to>
          <xdr:col>10</xdr:col>
          <xdr:colOff>28575</xdr:colOff>
          <xdr:row>17</xdr:row>
          <xdr:rowOff>171450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15</xdr:row>
          <xdr:rowOff>0</xdr:rowOff>
        </xdr:from>
        <xdr:to>
          <xdr:col>9</xdr:col>
          <xdr:colOff>295275</xdr:colOff>
          <xdr:row>16</xdr:row>
          <xdr:rowOff>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914400</xdr:colOff>
          <xdr:row>14</xdr:row>
          <xdr:rowOff>28575</xdr:rowOff>
        </xdr:from>
        <xdr:to>
          <xdr:col>10</xdr:col>
          <xdr:colOff>28575</xdr:colOff>
          <xdr:row>15</xdr:row>
          <xdr:rowOff>171450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13</xdr:row>
          <xdr:rowOff>0</xdr:rowOff>
        </xdr:from>
        <xdr:to>
          <xdr:col>9</xdr:col>
          <xdr:colOff>295275</xdr:colOff>
          <xdr:row>14</xdr:row>
          <xdr:rowOff>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914400</xdr:colOff>
          <xdr:row>12</xdr:row>
          <xdr:rowOff>28575</xdr:rowOff>
        </xdr:from>
        <xdr:to>
          <xdr:col>10</xdr:col>
          <xdr:colOff>28575</xdr:colOff>
          <xdr:row>13</xdr:row>
          <xdr:rowOff>171450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11</xdr:row>
          <xdr:rowOff>0</xdr:rowOff>
        </xdr:from>
        <xdr:to>
          <xdr:col>9</xdr:col>
          <xdr:colOff>295275</xdr:colOff>
          <xdr:row>12</xdr:row>
          <xdr:rowOff>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914400</xdr:colOff>
          <xdr:row>10</xdr:row>
          <xdr:rowOff>28575</xdr:rowOff>
        </xdr:from>
        <xdr:to>
          <xdr:col>10</xdr:col>
          <xdr:colOff>28575</xdr:colOff>
          <xdr:row>11</xdr:row>
          <xdr:rowOff>171450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9</xdr:row>
          <xdr:rowOff>0</xdr:rowOff>
        </xdr:from>
        <xdr:to>
          <xdr:col>9</xdr:col>
          <xdr:colOff>295275</xdr:colOff>
          <xdr:row>10</xdr:row>
          <xdr:rowOff>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914400</xdr:colOff>
          <xdr:row>8</xdr:row>
          <xdr:rowOff>28575</xdr:rowOff>
        </xdr:from>
        <xdr:to>
          <xdr:col>10</xdr:col>
          <xdr:colOff>28575</xdr:colOff>
          <xdr:row>9</xdr:row>
          <xdr:rowOff>171450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19</xdr:row>
          <xdr:rowOff>0</xdr:rowOff>
        </xdr:from>
        <xdr:to>
          <xdr:col>3</xdr:col>
          <xdr:colOff>990600</xdr:colOff>
          <xdr:row>20</xdr:row>
          <xdr:rowOff>9525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19</xdr:row>
          <xdr:rowOff>0</xdr:rowOff>
        </xdr:from>
        <xdr:to>
          <xdr:col>3</xdr:col>
          <xdr:colOff>914400</xdr:colOff>
          <xdr:row>20</xdr:row>
          <xdr:rowOff>9525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17</xdr:row>
          <xdr:rowOff>0</xdr:rowOff>
        </xdr:from>
        <xdr:to>
          <xdr:col>3</xdr:col>
          <xdr:colOff>990600</xdr:colOff>
          <xdr:row>18</xdr:row>
          <xdr:rowOff>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17</xdr:row>
          <xdr:rowOff>0</xdr:rowOff>
        </xdr:from>
        <xdr:to>
          <xdr:col>3</xdr:col>
          <xdr:colOff>914400</xdr:colOff>
          <xdr:row>18</xdr:row>
          <xdr:rowOff>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15</xdr:row>
          <xdr:rowOff>0</xdr:rowOff>
        </xdr:from>
        <xdr:to>
          <xdr:col>3</xdr:col>
          <xdr:colOff>990600</xdr:colOff>
          <xdr:row>16</xdr:row>
          <xdr:rowOff>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15</xdr:row>
          <xdr:rowOff>0</xdr:rowOff>
        </xdr:from>
        <xdr:to>
          <xdr:col>3</xdr:col>
          <xdr:colOff>914400</xdr:colOff>
          <xdr:row>16</xdr:row>
          <xdr:rowOff>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13</xdr:row>
          <xdr:rowOff>0</xdr:rowOff>
        </xdr:from>
        <xdr:to>
          <xdr:col>3</xdr:col>
          <xdr:colOff>990600</xdr:colOff>
          <xdr:row>14</xdr:row>
          <xdr:rowOff>0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13</xdr:row>
          <xdr:rowOff>0</xdr:rowOff>
        </xdr:from>
        <xdr:to>
          <xdr:col>3</xdr:col>
          <xdr:colOff>914400</xdr:colOff>
          <xdr:row>14</xdr:row>
          <xdr:rowOff>0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11</xdr:row>
          <xdr:rowOff>0</xdr:rowOff>
        </xdr:from>
        <xdr:to>
          <xdr:col>3</xdr:col>
          <xdr:colOff>990600</xdr:colOff>
          <xdr:row>12</xdr:row>
          <xdr:rowOff>0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0</xdr:rowOff>
        </xdr:from>
        <xdr:to>
          <xdr:col>3</xdr:col>
          <xdr:colOff>295275</xdr:colOff>
          <xdr:row>12</xdr:row>
          <xdr:rowOff>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11</xdr:row>
          <xdr:rowOff>0</xdr:rowOff>
        </xdr:from>
        <xdr:to>
          <xdr:col>3</xdr:col>
          <xdr:colOff>914400</xdr:colOff>
          <xdr:row>12</xdr:row>
          <xdr:rowOff>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9</xdr:row>
          <xdr:rowOff>0</xdr:rowOff>
        </xdr:from>
        <xdr:to>
          <xdr:col>3</xdr:col>
          <xdr:colOff>990600</xdr:colOff>
          <xdr:row>10</xdr:row>
          <xdr:rowOff>0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</xdr:row>
          <xdr:rowOff>0</xdr:rowOff>
        </xdr:from>
        <xdr:to>
          <xdr:col>3</xdr:col>
          <xdr:colOff>295275</xdr:colOff>
          <xdr:row>10</xdr:row>
          <xdr:rowOff>0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9</xdr:row>
          <xdr:rowOff>0</xdr:rowOff>
        </xdr:from>
        <xdr:to>
          <xdr:col>3</xdr:col>
          <xdr:colOff>914400</xdr:colOff>
          <xdr:row>10</xdr:row>
          <xdr:rowOff>0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9</xdr:row>
          <xdr:rowOff>0</xdr:rowOff>
        </xdr:from>
        <xdr:to>
          <xdr:col>4</xdr:col>
          <xdr:colOff>66675</xdr:colOff>
          <xdr:row>10</xdr:row>
          <xdr:rowOff>0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11</xdr:row>
          <xdr:rowOff>0</xdr:rowOff>
        </xdr:from>
        <xdr:to>
          <xdr:col>3</xdr:col>
          <xdr:colOff>990600</xdr:colOff>
          <xdr:row>12</xdr:row>
          <xdr:rowOff>0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11</xdr:row>
          <xdr:rowOff>0</xdr:rowOff>
        </xdr:from>
        <xdr:to>
          <xdr:col>3</xdr:col>
          <xdr:colOff>914400</xdr:colOff>
          <xdr:row>12</xdr:row>
          <xdr:rowOff>0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11</xdr:row>
          <xdr:rowOff>0</xdr:rowOff>
        </xdr:from>
        <xdr:to>
          <xdr:col>4</xdr:col>
          <xdr:colOff>66675</xdr:colOff>
          <xdr:row>12</xdr:row>
          <xdr:rowOff>0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13</xdr:row>
          <xdr:rowOff>0</xdr:rowOff>
        </xdr:from>
        <xdr:to>
          <xdr:col>3</xdr:col>
          <xdr:colOff>990600</xdr:colOff>
          <xdr:row>14</xdr:row>
          <xdr:rowOff>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13</xdr:row>
          <xdr:rowOff>0</xdr:rowOff>
        </xdr:from>
        <xdr:to>
          <xdr:col>3</xdr:col>
          <xdr:colOff>990600</xdr:colOff>
          <xdr:row>14</xdr:row>
          <xdr:rowOff>0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0</xdr:rowOff>
        </xdr:from>
        <xdr:to>
          <xdr:col>3</xdr:col>
          <xdr:colOff>295275</xdr:colOff>
          <xdr:row>14</xdr:row>
          <xdr:rowOff>0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13</xdr:row>
          <xdr:rowOff>0</xdr:rowOff>
        </xdr:from>
        <xdr:to>
          <xdr:col>3</xdr:col>
          <xdr:colOff>914400</xdr:colOff>
          <xdr:row>14</xdr:row>
          <xdr:rowOff>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13</xdr:row>
          <xdr:rowOff>0</xdr:rowOff>
        </xdr:from>
        <xdr:to>
          <xdr:col>3</xdr:col>
          <xdr:colOff>990600</xdr:colOff>
          <xdr:row>14</xdr:row>
          <xdr:rowOff>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13</xdr:row>
          <xdr:rowOff>0</xdr:rowOff>
        </xdr:from>
        <xdr:to>
          <xdr:col>3</xdr:col>
          <xdr:colOff>914400</xdr:colOff>
          <xdr:row>14</xdr:row>
          <xdr:rowOff>0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13</xdr:row>
          <xdr:rowOff>0</xdr:rowOff>
        </xdr:from>
        <xdr:to>
          <xdr:col>4</xdr:col>
          <xdr:colOff>66675</xdr:colOff>
          <xdr:row>14</xdr:row>
          <xdr:rowOff>0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15</xdr:row>
          <xdr:rowOff>0</xdr:rowOff>
        </xdr:from>
        <xdr:to>
          <xdr:col>3</xdr:col>
          <xdr:colOff>990600</xdr:colOff>
          <xdr:row>16</xdr:row>
          <xdr:rowOff>0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15</xdr:row>
          <xdr:rowOff>0</xdr:rowOff>
        </xdr:from>
        <xdr:to>
          <xdr:col>3</xdr:col>
          <xdr:colOff>990600</xdr:colOff>
          <xdr:row>16</xdr:row>
          <xdr:rowOff>0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15</xdr:row>
          <xdr:rowOff>0</xdr:rowOff>
        </xdr:from>
        <xdr:to>
          <xdr:col>3</xdr:col>
          <xdr:colOff>295275</xdr:colOff>
          <xdr:row>16</xdr:row>
          <xdr:rowOff>0</xdr:rowOff>
        </xdr:to>
        <xdr:sp macro="" textlink="">
          <xdr:nvSpPr>
            <xdr:cNvPr id="4174" name="Check Box 78" hidden="1">
              <a:extLst>
                <a:ext uri="{63B3BB69-23CF-44E3-9099-C40C66FF867C}">
                  <a14:compatExt spid="_x0000_s4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15</xdr:row>
          <xdr:rowOff>0</xdr:rowOff>
        </xdr:from>
        <xdr:to>
          <xdr:col>3</xdr:col>
          <xdr:colOff>914400</xdr:colOff>
          <xdr:row>16</xdr:row>
          <xdr:rowOff>0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15</xdr:row>
          <xdr:rowOff>0</xdr:rowOff>
        </xdr:from>
        <xdr:to>
          <xdr:col>3</xdr:col>
          <xdr:colOff>990600</xdr:colOff>
          <xdr:row>16</xdr:row>
          <xdr:rowOff>0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15</xdr:row>
          <xdr:rowOff>0</xdr:rowOff>
        </xdr:from>
        <xdr:to>
          <xdr:col>3</xdr:col>
          <xdr:colOff>914400</xdr:colOff>
          <xdr:row>16</xdr:row>
          <xdr:rowOff>0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15</xdr:row>
          <xdr:rowOff>0</xdr:rowOff>
        </xdr:from>
        <xdr:to>
          <xdr:col>4</xdr:col>
          <xdr:colOff>66675</xdr:colOff>
          <xdr:row>16</xdr:row>
          <xdr:rowOff>0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17</xdr:row>
          <xdr:rowOff>0</xdr:rowOff>
        </xdr:from>
        <xdr:to>
          <xdr:col>3</xdr:col>
          <xdr:colOff>990600</xdr:colOff>
          <xdr:row>18</xdr:row>
          <xdr:rowOff>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17</xdr:row>
          <xdr:rowOff>0</xdr:rowOff>
        </xdr:from>
        <xdr:to>
          <xdr:col>3</xdr:col>
          <xdr:colOff>990600</xdr:colOff>
          <xdr:row>18</xdr:row>
          <xdr:rowOff>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17</xdr:row>
          <xdr:rowOff>0</xdr:rowOff>
        </xdr:from>
        <xdr:to>
          <xdr:col>3</xdr:col>
          <xdr:colOff>295275</xdr:colOff>
          <xdr:row>18</xdr:row>
          <xdr:rowOff>0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17</xdr:row>
          <xdr:rowOff>0</xdr:rowOff>
        </xdr:from>
        <xdr:to>
          <xdr:col>3</xdr:col>
          <xdr:colOff>914400</xdr:colOff>
          <xdr:row>18</xdr:row>
          <xdr:rowOff>0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17</xdr:row>
          <xdr:rowOff>0</xdr:rowOff>
        </xdr:from>
        <xdr:to>
          <xdr:col>3</xdr:col>
          <xdr:colOff>990600</xdr:colOff>
          <xdr:row>18</xdr:row>
          <xdr:rowOff>0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17</xdr:row>
          <xdr:rowOff>0</xdr:rowOff>
        </xdr:from>
        <xdr:to>
          <xdr:col>3</xdr:col>
          <xdr:colOff>914400</xdr:colOff>
          <xdr:row>18</xdr:row>
          <xdr:rowOff>0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17</xdr:row>
          <xdr:rowOff>0</xdr:rowOff>
        </xdr:from>
        <xdr:to>
          <xdr:col>4</xdr:col>
          <xdr:colOff>66675</xdr:colOff>
          <xdr:row>18</xdr:row>
          <xdr:rowOff>0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19</xdr:row>
          <xdr:rowOff>0</xdr:rowOff>
        </xdr:from>
        <xdr:to>
          <xdr:col>3</xdr:col>
          <xdr:colOff>990600</xdr:colOff>
          <xdr:row>20</xdr:row>
          <xdr:rowOff>9525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19</xdr:row>
          <xdr:rowOff>0</xdr:rowOff>
        </xdr:from>
        <xdr:to>
          <xdr:col>3</xdr:col>
          <xdr:colOff>990600</xdr:colOff>
          <xdr:row>20</xdr:row>
          <xdr:rowOff>9525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19</xdr:row>
          <xdr:rowOff>0</xdr:rowOff>
        </xdr:from>
        <xdr:to>
          <xdr:col>3</xdr:col>
          <xdr:colOff>295275</xdr:colOff>
          <xdr:row>20</xdr:row>
          <xdr:rowOff>9525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19</xdr:row>
          <xdr:rowOff>0</xdr:rowOff>
        </xdr:from>
        <xdr:to>
          <xdr:col>3</xdr:col>
          <xdr:colOff>914400</xdr:colOff>
          <xdr:row>20</xdr:row>
          <xdr:rowOff>9525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19</xdr:row>
          <xdr:rowOff>0</xdr:rowOff>
        </xdr:from>
        <xdr:to>
          <xdr:col>3</xdr:col>
          <xdr:colOff>990600</xdr:colOff>
          <xdr:row>20</xdr:row>
          <xdr:rowOff>9525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19</xdr:row>
          <xdr:rowOff>0</xdr:rowOff>
        </xdr:from>
        <xdr:to>
          <xdr:col>3</xdr:col>
          <xdr:colOff>914400</xdr:colOff>
          <xdr:row>20</xdr:row>
          <xdr:rowOff>9525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19</xdr:row>
          <xdr:rowOff>0</xdr:rowOff>
        </xdr:from>
        <xdr:to>
          <xdr:col>4</xdr:col>
          <xdr:colOff>66675</xdr:colOff>
          <xdr:row>20</xdr:row>
          <xdr:rowOff>9525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21</xdr:row>
          <xdr:rowOff>0</xdr:rowOff>
        </xdr:from>
        <xdr:to>
          <xdr:col>3</xdr:col>
          <xdr:colOff>990600</xdr:colOff>
          <xdr:row>22</xdr:row>
          <xdr:rowOff>0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21</xdr:row>
          <xdr:rowOff>0</xdr:rowOff>
        </xdr:from>
        <xdr:to>
          <xdr:col>3</xdr:col>
          <xdr:colOff>990600</xdr:colOff>
          <xdr:row>22</xdr:row>
          <xdr:rowOff>0</xdr:rowOff>
        </xdr:to>
        <xdr:sp macro="" textlink="">
          <xdr:nvSpPr>
            <xdr:cNvPr id="4194" name="Check Box 98" hidden="1">
              <a:extLst>
                <a:ext uri="{63B3BB69-23CF-44E3-9099-C40C66FF867C}">
                  <a14:compatExt spid="_x0000_s4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21</xdr:row>
          <xdr:rowOff>0</xdr:rowOff>
        </xdr:from>
        <xdr:to>
          <xdr:col>3</xdr:col>
          <xdr:colOff>295275</xdr:colOff>
          <xdr:row>22</xdr:row>
          <xdr:rowOff>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21</xdr:row>
          <xdr:rowOff>0</xdr:rowOff>
        </xdr:from>
        <xdr:to>
          <xdr:col>3</xdr:col>
          <xdr:colOff>914400</xdr:colOff>
          <xdr:row>22</xdr:row>
          <xdr:rowOff>0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21</xdr:row>
          <xdr:rowOff>0</xdr:rowOff>
        </xdr:from>
        <xdr:to>
          <xdr:col>3</xdr:col>
          <xdr:colOff>990600</xdr:colOff>
          <xdr:row>22</xdr:row>
          <xdr:rowOff>0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21</xdr:row>
          <xdr:rowOff>0</xdr:rowOff>
        </xdr:from>
        <xdr:to>
          <xdr:col>3</xdr:col>
          <xdr:colOff>914400</xdr:colOff>
          <xdr:row>22</xdr:row>
          <xdr:rowOff>0</xdr:rowOff>
        </xdr:to>
        <xdr:sp macro="" textlink="">
          <xdr:nvSpPr>
            <xdr:cNvPr id="4198" name="Check Box 102" hidden="1">
              <a:extLst>
                <a:ext uri="{63B3BB69-23CF-44E3-9099-C40C66FF867C}">
                  <a14:compatExt spid="_x0000_s4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21</xdr:row>
          <xdr:rowOff>0</xdr:rowOff>
        </xdr:from>
        <xdr:to>
          <xdr:col>4</xdr:col>
          <xdr:colOff>66675</xdr:colOff>
          <xdr:row>22</xdr:row>
          <xdr:rowOff>0</xdr:rowOff>
        </xdr:to>
        <xdr:sp macro="" textlink="">
          <xdr:nvSpPr>
            <xdr:cNvPr id="4199" name="Check Box 103" hidden="1">
              <a:extLst>
                <a:ext uri="{63B3BB69-23CF-44E3-9099-C40C66FF867C}">
                  <a14:compatExt spid="_x0000_s4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57</xdr:row>
          <xdr:rowOff>28575</xdr:rowOff>
        </xdr:from>
        <xdr:to>
          <xdr:col>14</xdr:col>
          <xdr:colOff>314325</xdr:colOff>
          <xdr:row>58</xdr:row>
          <xdr:rowOff>28575</xdr:rowOff>
        </xdr:to>
        <xdr:sp macro="" textlink="">
          <xdr:nvSpPr>
            <xdr:cNvPr id="4200" name="Check Box 104" hidden="1">
              <a:extLst>
                <a:ext uri="{63B3BB69-23CF-44E3-9099-C40C66FF867C}">
                  <a14:compatExt spid="_x0000_s4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23</xdr:row>
          <xdr:rowOff>0</xdr:rowOff>
        </xdr:from>
        <xdr:to>
          <xdr:col>3</xdr:col>
          <xdr:colOff>990600</xdr:colOff>
          <xdr:row>24</xdr:row>
          <xdr:rowOff>0</xdr:rowOff>
        </xdr:to>
        <xdr:sp macro="" textlink="">
          <xdr:nvSpPr>
            <xdr:cNvPr id="4210" name="Check Box 114" hidden="1">
              <a:extLst>
                <a:ext uri="{63B3BB69-23CF-44E3-9099-C40C66FF867C}">
                  <a14:compatExt spid="_x0000_s4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23</xdr:row>
          <xdr:rowOff>0</xdr:rowOff>
        </xdr:from>
        <xdr:to>
          <xdr:col>3</xdr:col>
          <xdr:colOff>914400</xdr:colOff>
          <xdr:row>24</xdr:row>
          <xdr:rowOff>0</xdr:rowOff>
        </xdr:to>
        <xdr:sp macro="" textlink="">
          <xdr:nvSpPr>
            <xdr:cNvPr id="4211" name="Check Box 115" hidden="1">
              <a:extLst>
                <a:ext uri="{63B3BB69-23CF-44E3-9099-C40C66FF867C}">
                  <a14:compatExt spid="_x0000_s4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23</xdr:row>
          <xdr:rowOff>0</xdr:rowOff>
        </xdr:from>
        <xdr:to>
          <xdr:col>3</xdr:col>
          <xdr:colOff>990600</xdr:colOff>
          <xdr:row>24</xdr:row>
          <xdr:rowOff>0</xdr:rowOff>
        </xdr:to>
        <xdr:sp macro="" textlink="">
          <xdr:nvSpPr>
            <xdr:cNvPr id="4212" name="Check Box 116" hidden="1">
              <a:extLst>
                <a:ext uri="{63B3BB69-23CF-44E3-9099-C40C66FF867C}">
                  <a14:compatExt spid="_x0000_s4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23</xdr:row>
          <xdr:rowOff>0</xdr:rowOff>
        </xdr:from>
        <xdr:to>
          <xdr:col>3</xdr:col>
          <xdr:colOff>990600</xdr:colOff>
          <xdr:row>24</xdr:row>
          <xdr:rowOff>0</xdr:rowOff>
        </xdr:to>
        <xdr:sp macro="" textlink="">
          <xdr:nvSpPr>
            <xdr:cNvPr id="4213" name="Check Box 117" hidden="1">
              <a:extLst>
                <a:ext uri="{63B3BB69-23CF-44E3-9099-C40C66FF867C}">
                  <a14:compatExt spid="_x0000_s4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23</xdr:row>
          <xdr:rowOff>0</xdr:rowOff>
        </xdr:from>
        <xdr:to>
          <xdr:col>3</xdr:col>
          <xdr:colOff>295275</xdr:colOff>
          <xdr:row>24</xdr:row>
          <xdr:rowOff>0</xdr:rowOff>
        </xdr:to>
        <xdr:sp macro="" textlink="">
          <xdr:nvSpPr>
            <xdr:cNvPr id="4214" name="Check Box 118" hidden="1">
              <a:extLst>
                <a:ext uri="{63B3BB69-23CF-44E3-9099-C40C66FF867C}">
                  <a14:compatExt spid="_x0000_s4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23</xdr:row>
          <xdr:rowOff>0</xdr:rowOff>
        </xdr:from>
        <xdr:to>
          <xdr:col>3</xdr:col>
          <xdr:colOff>914400</xdr:colOff>
          <xdr:row>24</xdr:row>
          <xdr:rowOff>0</xdr:rowOff>
        </xdr:to>
        <xdr:sp macro="" textlink="">
          <xdr:nvSpPr>
            <xdr:cNvPr id="4215" name="Check Box 119" hidden="1">
              <a:extLst>
                <a:ext uri="{63B3BB69-23CF-44E3-9099-C40C66FF867C}">
                  <a14:compatExt spid="_x0000_s4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23</xdr:row>
          <xdr:rowOff>0</xdr:rowOff>
        </xdr:from>
        <xdr:to>
          <xdr:col>3</xdr:col>
          <xdr:colOff>990600</xdr:colOff>
          <xdr:row>24</xdr:row>
          <xdr:rowOff>0</xdr:rowOff>
        </xdr:to>
        <xdr:sp macro="" textlink="">
          <xdr:nvSpPr>
            <xdr:cNvPr id="4216" name="Check Box 120" hidden="1">
              <a:extLst>
                <a:ext uri="{63B3BB69-23CF-44E3-9099-C40C66FF867C}">
                  <a14:compatExt spid="_x0000_s4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23</xdr:row>
          <xdr:rowOff>0</xdr:rowOff>
        </xdr:from>
        <xdr:to>
          <xdr:col>3</xdr:col>
          <xdr:colOff>914400</xdr:colOff>
          <xdr:row>24</xdr:row>
          <xdr:rowOff>0</xdr:rowOff>
        </xdr:to>
        <xdr:sp macro="" textlink="">
          <xdr:nvSpPr>
            <xdr:cNvPr id="4217" name="Check Box 121" hidden="1">
              <a:extLst>
                <a:ext uri="{63B3BB69-23CF-44E3-9099-C40C66FF867C}">
                  <a14:compatExt spid="_x0000_s4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23</xdr:row>
          <xdr:rowOff>0</xdr:rowOff>
        </xdr:from>
        <xdr:to>
          <xdr:col>4</xdr:col>
          <xdr:colOff>66675</xdr:colOff>
          <xdr:row>24</xdr:row>
          <xdr:rowOff>0</xdr:rowOff>
        </xdr:to>
        <xdr:sp macro="" textlink="">
          <xdr:nvSpPr>
            <xdr:cNvPr id="4218" name="Check Box 122" hidden="1">
              <a:extLst>
                <a:ext uri="{63B3BB69-23CF-44E3-9099-C40C66FF867C}">
                  <a14:compatExt spid="_x0000_s4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23</xdr:row>
          <xdr:rowOff>0</xdr:rowOff>
        </xdr:from>
        <xdr:to>
          <xdr:col>4</xdr:col>
          <xdr:colOff>66675</xdr:colOff>
          <xdr:row>24</xdr:row>
          <xdr:rowOff>0</xdr:rowOff>
        </xdr:to>
        <xdr:sp macro="" textlink="">
          <xdr:nvSpPr>
            <xdr:cNvPr id="4220" name="Check Box 124" hidden="1">
              <a:extLst>
                <a:ext uri="{63B3BB69-23CF-44E3-9099-C40C66FF867C}">
                  <a14:compatExt spid="_x0000_s4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23</xdr:row>
          <xdr:rowOff>0</xdr:rowOff>
        </xdr:from>
        <xdr:to>
          <xdr:col>9</xdr:col>
          <xdr:colOff>295275</xdr:colOff>
          <xdr:row>24</xdr:row>
          <xdr:rowOff>0</xdr:rowOff>
        </xdr:to>
        <xdr:sp macro="" textlink="">
          <xdr:nvSpPr>
            <xdr:cNvPr id="4221" name="Check Box 125" hidden="1">
              <a:extLst>
                <a:ext uri="{63B3BB69-23CF-44E3-9099-C40C66FF867C}">
                  <a14:compatExt spid="_x0000_s4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914400</xdr:colOff>
          <xdr:row>22</xdr:row>
          <xdr:rowOff>28575</xdr:rowOff>
        </xdr:from>
        <xdr:to>
          <xdr:col>10</xdr:col>
          <xdr:colOff>28575</xdr:colOff>
          <xdr:row>23</xdr:row>
          <xdr:rowOff>171450</xdr:rowOff>
        </xdr:to>
        <xdr:sp macro="" textlink="">
          <xdr:nvSpPr>
            <xdr:cNvPr id="4222" name="Check Box 126" hidden="1">
              <a:extLst>
                <a:ext uri="{63B3BB69-23CF-44E3-9099-C40C66FF867C}">
                  <a14:compatExt spid="_x0000_s4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171450</xdr:colOff>
      <xdr:row>42</xdr:row>
      <xdr:rowOff>76200</xdr:rowOff>
    </xdr:from>
    <xdr:to>
      <xdr:col>20</xdr:col>
      <xdr:colOff>342900</xdr:colOff>
      <xdr:row>42</xdr:row>
      <xdr:rowOff>121919</xdr:rowOff>
    </xdr:to>
    <xdr:sp macro="" textlink="">
      <xdr:nvSpPr>
        <xdr:cNvPr id="17" name="Pfeil nach links 16"/>
        <xdr:cNvSpPr/>
      </xdr:nvSpPr>
      <xdr:spPr>
        <a:xfrm>
          <a:off x="10925175" y="6105525"/>
          <a:ext cx="171450" cy="45719"/>
        </a:xfrm>
        <a:prstGeom prst="lef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161925</xdr:colOff>
      <xdr:row>43</xdr:row>
      <xdr:rowOff>85725</xdr:rowOff>
    </xdr:from>
    <xdr:to>
      <xdr:col>20</xdr:col>
      <xdr:colOff>333375</xdr:colOff>
      <xdr:row>43</xdr:row>
      <xdr:rowOff>131444</xdr:rowOff>
    </xdr:to>
    <xdr:sp macro="" textlink="">
      <xdr:nvSpPr>
        <xdr:cNvPr id="18" name="Pfeil nach links 17"/>
        <xdr:cNvSpPr/>
      </xdr:nvSpPr>
      <xdr:spPr>
        <a:xfrm>
          <a:off x="10915650" y="6296025"/>
          <a:ext cx="171450" cy="45719"/>
        </a:xfrm>
        <a:prstGeom prst="lef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171450</xdr:colOff>
      <xdr:row>44</xdr:row>
      <xdr:rowOff>38100</xdr:rowOff>
    </xdr:from>
    <xdr:to>
      <xdr:col>20</xdr:col>
      <xdr:colOff>342900</xdr:colOff>
      <xdr:row>44</xdr:row>
      <xdr:rowOff>83819</xdr:rowOff>
    </xdr:to>
    <xdr:sp macro="" textlink="">
      <xdr:nvSpPr>
        <xdr:cNvPr id="19" name="Pfeil nach links 18"/>
        <xdr:cNvSpPr/>
      </xdr:nvSpPr>
      <xdr:spPr>
        <a:xfrm>
          <a:off x="10925175" y="6429375"/>
          <a:ext cx="171450" cy="45719"/>
        </a:xfrm>
        <a:prstGeom prst="lef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161925</xdr:colOff>
      <xdr:row>45</xdr:row>
      <xdr:rowOff>28575</xdr:rowOff>
    </xdr:from>
    <xdr:to>
      <xdr:col>20</xdr:col>
      <xdr:colOff>333375</xdr:colOff>
      <xdr:row>45</xdr:row>
      <xdr:rowOff>74294</xdr:rowOff>
    </xdr:to>
    <xdr:sp macro="" textlink="">
      <xdr:nvSpPr>
        <xdr:cNvPr id="20" name="Pfeil nach links 19"/>
        <xdr:cNvSpPr/>
      </xdr:nvSpPr>
      <xdr:spPr>
        <a:xfrm>
          <a:off x="10915650" y="6600825"/>
          <a:ext cx="171450" cy="45719"/>
        </a:xfrm>
        <a:prstGeom prst="lef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152400</xdr:colOff>
      <xdr:row>46</xdr:row>
      <xdr:rowOff>76200</xdr:rowOff>
    </xdr:from>
    <xdr:to>
      <xdr:col>20</xdr:col>
      <xdr:colOff>323850</xdr:colOff>
      <xdr:row>46</xdr:row>
      <xdr:rowOff>121919</xdr:rowOff>
    </xdr:to>
    <xdr:sp macro="" textlink="">
      <xdr:nvSpPr>
        <xdr:cNvPr id="21" name="Pfeil nach links 20"/>
        <xdr:cNvSpPr/>
      </xdr:nvSpPr>
      <xdr:spPr>
        <a:xfrm>
          <a:off x="10906125" y="6819900"/>
          <a:ext cx="171450" cy="45719"/>
        </a:xfrm>
        <a:prstGeom prst="lef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19050</xdr:rowOff>
        </xdr:from>
        <xdr:to>
          <xdr:col>6</xdr:col>
          <xdr:colOff>666750</xdr:colOff>
          <xdr:row>44</xdr:row>
          <xdr:rowOff>76200</xdr:rowOff>
        </xdr:to>
        <xdr:sp macro="" textlink="">
          <xdr:nvSpPr>
            <xdr:cNvPr id="28697" name="Object 25" hidden="1">
              <a:extLst>
                <a:ext uri="{63B3BB69-23CF-44E3-9099-C40C66FF867C}">
                  <a14:compatExt spid="_x0000_s286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51</xdr:row>
          <xdr:rowOff>171450</xdr:rowOff>
        </xdr:from>
        <xdr:to>
          <xdr:col>6</xdr:col>
          <xdr:colOff>666750</xdr:colOff>
          <xdr:row>96</xdr:row>
          <xdr:rowOff>47625</xdr:rowOff>
        </xdr:to>
        <xdr:sp macro="" textlink="">
          <xdr:nvSpPr>
            <xdr:cNvPr id="28698" name="Object 26" hidden="1">
              <a:extLst>
                <a:ext uri="{63B3BB69-23CF-44E3-9099-C40C66FF867C}">
                  <a14:compatExt spid="_x0000_s28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103</xdr:row>
          <xdr:rowOff>28575</xdr:rowOff>
        </xdr:from>
        <xdr:to>
          <xdr:col>6</xdr:col>
          <xdr:colOff>657225</xdr:colOff>
          <xdr:row>147</xdr:row>
          <xdr:rowOff>85725</xdr:rowOff>
        </xdr:to>
        <xdr:sp macro="" textlink="">
          <xdr:nvSpPr>
            <xdr:cNvPr id="28699" name="Object 27" hidden="1">
              <a:extLst>
                <a:ext uri="{63B3BB69-23CF-44E3-9099-C40C66FF867C}">
                  <a14:compatExt spid="_x0000_s286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154</xdr:row>
          <xdr:rowOff>38100</xdr:rowOff>
        </xdr:from>
        <xdr:to>
          <xdr:col>6</xdr:col>
          <xdr:colOff>666750</xdr:colOff>
          <xdr:row>198</xdr:row>
          <xdr:rowOff>95250</xdr:rowOff>
        </xdr:to>
        <xdr:sp macro="" textlink="">
          <xdr:nvSpPr>
            <xdr:cNvPr id="28700" name="Object 28" hidden="1">
              <a:extLst>
                <a:ext uri="{63B3BB69-23CF-44E3-9099-C40C66FF867C}">
                  <a14:compatExt spid="_x0000_s28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205</xdr:row>
          <xdr:rowOff>76200</xdr:rowOff>
        </xdr:from>
        <xdr:to>
          <xdr:col>6</xdr:col>
          <xdr:colOff>657225</xdr:colOff>
          <xdr:row>249</xdr:row>
          <xdr:rowOff>133350</xdr:rowOff>
        </xdr:to>
        <xdr:sp macro="" textlink="">
          <xdr:nvSpPr>
            <xdr:cNvPr id="28701" name="Object 29" hidden="1">
              <a:extLst>
                <a:ext uri="{63B3BB69-23CF-44E3-9099-C40C66FF867C}">
                  <a14:compatExt spid="_x0000_s287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255</xdr:row>
          <xdr:rowOff>161925</xdr:rowOff>
        </xdr:from>
        <xdr:to>
          <xdr:col>6</xdr:col>
          <xdr:colOff>657225</xdr:colOff>
          <xdr:row>300</xdr:row>
          <xdr:rowOff>38100</xdr:rowOff>
        </xdr:to>
        <xdr:sp macro="" textlink="">
          <xdr:nvSpPr>
            <xdr:cNvPr id="28702" name="Object 30" hidden="1">
              <a:extLst>
                <a:ext uri="{63B3BB69-23CF-44E3-9099-C40C66FF867C}">
                  <a14:compatExt spid="_x0000_s287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AOKPLUS">
  <a:themeElements>
    <a:clrScheme name="AOK PLUS">
      <a:dk1>
        <a:sysClr val="windowText" lastClr="000000"/>
      </a:dk1>
      <a:lt1>
        <a:sysClr val="window" lastClr="FFFFFF"/>
      </a:lt1>
      <a:dk2>
        <a:srgbClr val="029646"/>
      </a:dk2>
      <a:lt2>
        <a:srgbClr val="EEECE1"/>
      </a:lt2>
      <a:accent1>
        <a:srgbClr val="CFE8B5"/>
      </a:accent1>
      <a:accent2>
        <a:srgbClr val="FDCA00"/>
      </a:accent2>
      <a:accent3>
        <a:srgbClr val="66BA06"/>
      </a:accent3>
      <a:accent4>
        <a:srgbClr val="EC540B"/>
      </a:accent4>
      <a:accent5>
        <a:srgbClr val="A0C013"/>
      </a:accent5>
      <a:accent6>
        <a:srgbClr val="B0B0B0"/>
      </a:accent6>
      <a:hlink>
        <a:srgbClr val="0000FF"/>
      </a:hlink>
      <a:folHlink>
        <a:srgbClr val="800080"/>
      </a:folHlink>
    </a:clrScheme>
    <a:fontScheme name="Executi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Palatino Linotype"/>
        <a:ea typeface=""/>
        <a:cs typeface=""/>
        <a:font script="Jpan" typeface="HGS明朝E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6.xml"/><Relationship Id="rId21" Type="http://schemas.openxmlformats.org/officeDocument/2006/relationships/ctrlProp" Target="../ctrlProps/ctrlProp21.xml"/><Relationship Id="rId42" Type="http://schemas.openxmlformats.org/officeDocument/2006/relationships/ctrlProp" Target="../ctrlProps/ctrlProp42.xml"/><Relationship Id="rId47" Type="http://schemas.openxmlformats.org/officeDocument/2006/relationships/ctrlProp" Target="../ctrlProps/ctrlProp47.xml"/><Relationship Id="rId63" Type="http://schemas.openxmlformats.org/officeDocument/2006/relationships/ctrlProp" Target="../ctrlProps/ctrlProp63.xml"/><Relationship Id="rId68" Type="http://schemas.openxmlformats.org/officeDocument/2006/relationships/ctrlProp" Target="../ctrlProps/ctrlProp68.xml"/><Relationship Id="rId84" Type="http://schemas.openxmlformats.org/officeDocument/2006/relationships/ctrlProp" Target="../ctrlProps/ctrlProp84.xml"/><Relationship Id="rId89" Type="http://schemas.openxmlformats.org/officeDocument/2006/relationships/ctrlProp" Target="../ctrlProps/ctrlProp89.xml"/><Relationship Id="rId7" Type="http://schemas.openxmlformats.org/officeDocument/2006/relationships/ctrlProp" Target="../ctrlProps/ctrlProp7.xml"/><Relationship Id="rId71" Type="http://schemas.openxmlformats.org/officeDocument/2006/relationships/ctrlProp" Target="../ctrlProps/ctrlProp71.xml"/><Relationship Id="rId92" Type="http://schemas.openxmlformats.org/officeDocument/2006/relationships/ctrlProp" Target="../ctrlProps/ctrlProp92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16.xml"/><Relationship Id="rId29" Type="http://schemas.openxmlformats.org/officeDocument/2006/relationships/ctrlProp" Target="../ctrlProps/ctrlProp29.xml"/><Relationship Id="rId11" Type="http://schemas.openxmlformats.org/officeDocument/2006/relationships/ctrlProp" Target="../ctrlProps/ctrlProp11.xml"/><Relationship Id="rId24" Type="http://schemas.openxmlformats.org/officeDocument/2006/relationships/ctrlProp" Target="../ctrlProps/ctrlProp24.xml"/><Relationship Id="rId32" Type="http://schemas.openxmlformats.org/officeDocument/2006/relationships/ctrlProp" Target="../ctrlProps/ctrlProp32.xml"/><Relationship Id="rId37" Type="http://schemas.openxmlformats.org/officeDocument/2006/relationships/ctrlProp" Target="../ctrlProps/ctrlProp37.xml"/><Relationship Id="rId40" Type="http://schemas.openxmlformats.org/officeDocument/2006/relationships/ctrlProp" Target="../ctrlProps/ctrlProp40.xml"/><Relationship Id="rId45" Type="http://schemas.openxmlformats.org/officeDocument/2006/relationships/ctrlProp" Target="../ctrlProps/ctrlProp45.xml"/><Relationship Id="rId53" Type="http://schemas.openxmlformats.org/officeDocument/2006/relationships/ctrlProp" Target="../ctrlProps/ctrlProp53.xml"/><Relationship Id="rId58" Type="http://schemas.openxmlformats.org/officeDocument/2006/relationships/ctrlProp" Target="../ctrlProps/ctrlProp58.xml"/><Relationship Id="rId66" Type="http://schemas.openxmlformats.org/officeDocument/2006/relationships/ctrlProp" Target="../ctrlProps/ctrlProp66.xml"/><Relationship Id="rId74" Type="http://schemas.openxmlformats.org/officeDocument/2006/relationships/ctrlProp" Target="../ctrlProps/ctrlProp74.xml"/><Relationship Id="rId79" Type="http://schemas.openxmlformats.org/officeDocument/2006/relationships/ctrlProp" Target="../ctrlProps/ctrlProp79.xml"/><Relationship Id="rId87" Type="http://schemas.openxmlformats.org/officeDocument/2006/relationships/ctrlProp" Target="../ctrlProps/ctrlProp87.xml"/><Relationship Id="rId102" Type="http://schemas.openxmlformats.org/officeDocument/2006/relationships/ctrlProp" Target="../ctrlProps/ctrlProp102.xml"/><Relationship Id="rId5" Type="http://schemas.openxmlformats.org/officeDocument/2006/relationships/ctrlProp" Target="../ctrlProps/ctrlProp5.xml"/><Relationship Id="rId61" Type="http://schemas.openxmlformats.org/officeDocument/2006/relationships/ctrlProp" Target="../ctrlProps/ctrlProp61.xml"/><Relationship Id="rId82" Type="http://schemas.openxmlformats.org/officeDocument/2006/relationships/ctrlProp" Target="../ctrlProps/ctrlProp82.xml"/><Relationship Id="rId90" Type="http://schemas.openxmlformats.org/officeDocument/2006/relationships/ctrlProp" Target="../ctrlProps/ctrlProp90.xml"/><Relationship Id="rId95" Type="http://schemas.openxmlformats.org/officeDocument/2006/relationships/ctrlProp" Target="../ctrlProps/ctrlProp95.xml"/><Relationship Id="rId19" Type="http://schemas.openxmlformats.org/officeDocument/2006/relationships/ctrlProp" Target="../ctrlProps/ctrlProp19.xml"/><Relationship Id="rId14" Type="http://schemas.openxmlformats.org/officeDocument/2006/relationships/ctrlProp" Target="../ctrlProps/ctrlProp14.xml"/><Relationship Id="rId22" Type="http://schemas.openxmlformats.org/officeDocument/2006/relationships/ctrlProp" Target="../ctrlProps/ctrlProp22.xml"/><Relationship Id="rId27" Type="http://schemas.openxmlformats.org/officeDocument/2006/relationships/ctrlProp" Target="../ctrlProps/ctrlProp27.xml"/><Relationship Id="rId30" Type="http://schemas.openxmlformats.org/officeDocument/2006/relationships/ctrlProp" Target="../ctrlProps/ctrlProp30.xml"/><Relationship Id="rId35" Type="http://schemas.openxmlformats.org/officeDocument/2006/relationships/ctrlProp" Target="../ctrlProps/ctrlProp35.xml"/><Relationship Id="rId43" Type="http://schemas.openxmlformats.org/officeDocument/2006/relationships/ctrlProp" Target="../ctrlProps/ctrlProp43.xml"/><Relationship Id="rId48" Type="http://schemas.openxmlformats.org/officeDocument/2006/relationships/ctrlProp" Target="../ctrlProps/ctrlProp48.xml"/><Relationship Id="rId56" Type="http://schemas.openxmlformats.org/officeDocument/2006/relationships/ctrlProp" Target="../ctrlProps/ctrlProp56.xml"/><Relationship Id="rId64" Type="http://schemas.openxmlformats.org/officeDocument/2006/relationships/ctrlProp" Target="../ctrlProps/ctrlProp64.xml"/><Relationship Id="rId69" Type="http://schemas.openxmlformats.org/officeDocument/2006/relationships/ctrlProp" Target="../ctrlProps/ctrlProp69.xml"/><Relationship Id="rId77" Type="http://schemas.openxmlformats.org/officeDocument/2006/relationships/ctrlProp" Target="../ctrlProps/ctrlProp77.xml"/><Relationship Id="rId100" Type="http://schemas.openxmlformats.org/officeDocument/2006/relationships/ctrlProp" Target="../ctrlProps/ctrlProp100.xml"/><Relationship Id="rId105" Type="http://schemas.openxmlformats.org/officeDocument/2006/relationships/ctrlProp" Target="../ctrlProps/ctrlProp105.xml"/><Relationship Id="rId8" Type="http://schemas.openxmlformats.org/officeDocument/2006/relationships/ctrlProp" Target="../ctrlProps/ctrlProp8.xml"/><Relationship Id="rId51" Type="http://schemas.openxmlformats.org/officeDocument/2006/relationships/ctrlProp" Target="../ctrlProps/ctrlProp51.xml"/><Relationship Id="rId72" Type="http://schemas.openxmlformats.org/officeDocument/2006/relationships/ctrlProp" Target="../ctrlProps/ctrlProp72.xml"/><Relationship Id="rId80" Type="http://schemas.openxmlformats.org/officeDocument/2006/relationships/ctrlProp" Target="../ctrlProps/ctrlProp80.xml"/><Relationship Id="rId85" Type="http://schemas.openxmlformats.org/officeDocument/2006/relationships/ctrlProp" Target="../ctrlProps/ctrlProp85.xml"/><Relationship Id="rId93" Type="http://schemas.openxmlformats.org/officeDocument/2006/relationships/ctrlProp" Target="../ctrlProps/ctrlProp93.xml"/><Relationship Id="rId98" Type="http://schemas.openxmlformats.org/officeDocument/2006/relationships/ctrlProp" Target="../ctrlProps/ctrlProp98.xml"/><Relationship Id="rId3" Type="http://schemas.openxmlformats.org/officeDocument/2006/relationships/ctrlProp" Target="../ctrlProps/ctrlProp3.xml"/><Relationship Id="rId12" Type="http://schemas.openxmlformats.org/officeDocument/2006/relationships/ctrlProp" Target="../ctrlProps/ctrlProp12.xml"/><Relationship Id="rId17" Type="http://schemas.openxmlformats.org/officeDocument/2006/relationships/ctrlProp" Target="../ctrlProps/ctrlProp17.xml"/><Relationship Id="rId25" Type="http://schemas.openxmlformats.org/officeDocument/2006/relationships/ctrlProp" Target="../ctrlProps/ctrlProp25.xml"/><Relationship Id="rId33" Type="http://schemas.openxmlformats.org/officeDocument/2006/relationships/ctrlProp" Target="../ctrlProps/ctrlProp33.xml"/><Relationship Id="rId38" Type="http://schemas.openxmlformats.org/officeDocument/2006/relationships/ctrlProp" Target="../ctrlProps/ctrlProp38.xml"/><Relationship Id="rId46" Type="http://schemas.openxmlformats.org/officeDocument/2006/relationships/ctrlProp" Target="../ctrlProps/ctrlProp46.xml"/><Relationship Id="rId59" Type="http://schemas.openxmlformats.org/officeDocument/2006/relationships/ctrlProp" Target="../ctrlProps/ctrlProp59.xml"/><Relationship Id="rId67" Type="http://schemas.openxmlformats.org/officeDocument/2006/relationships/ctrlProp" Target="../ctrlProps/ctrlProp67.xml"/><Relationship Id="rId103" Type="http://schemas.openxmlformats.org/officeDocument/2006/relationships/ctrlProp" Target="../ctrlProps/ctrlProp103.xml"/><Relationship Id="rId20" Type="http://schemas.openxmlformats.org/officeDocument/2006/relationships/ctrlProp" Target="../ctrlProps/ctrlProp20.xml"/><Relationship Id="rId41" Type="http://schemas.openxmlformats.org/officeDocument/2006/relationships/ctrlProp" Target="../ctrlProps/ctrlProp41.xml"/><Relationship Id="rId54" Type="http://schemas.openxmlformats.org/officeDocument/2006/relationships/ctrlProp" Target="../ctrlProps/ctrlProp54.xml"/><Relationship Id="rId62" Type="http://schemas.openxmlformats.org/officeDocument/2006/relationships/ctrlProp" Target="../ctrlProps/ctrlProp62.xml"/><Relationship Id="rId70" Type="http://schemas.openxmlformats.org/officeDocument/2006/relationships/ctrlProp" Target="../ctrlProps/ctrlProp70.xml"/><Relationship Id="rId75" Type="http://schemas.openxmlformats.org/officeDocument/2006/relationships/ctrlProp" Target="../ctrlProps/ctrlProp75.xml"/><Relationship Id="rId83" Type="http://schemas.openxmlformats.org/officeDocument/2006/relationships/ctrlProp" Target="../ctrlProps/ctrlProp83.xml"/><Relationship Id="rId88" Type="http://schemas.openxmlformats.org/officeDocument/2006/relationships/ctrlProp" Target="../ctrlProps/ctrlProp88.xml"/><Relationship Id="rId91" Type="http://schemas.openxmlformats.org/officeDocument/2006/relationships/ctrlProp" Target="../ctrlProps/ctrlProp91.xml"/><Relationship Id="rId96" Type="http://schemas.openxmlformats.org/officeDocument/2006/relationships/ctrlProp" Target="../ctrlProps/ctrlProp96.x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6.xml"/><Relationship Id="rId15" Type="http://schemas.openxmlformats.org/officeDocument/2006/relationships/ctrlProp" Target="../ctrlProps/ctrlProp15.xml"/><Relationship Id="rId23" Type="http://schemas.openxmlformats.org/officeDocument/2006/relationships/ctrlProp" Target="../ctrlProps/ctrlProp23.xml"/><Relationship Id="rId28" Type="http://schemas.openxmlformats.org/officeDocument/2006/relationships/ctrlProp" Target="../ctrlProps/ctrlProp28.xml"/><Relationship Id="rId36" Type="http://schemas.openxmlformats.org/officeDocument/2006/relationships/ctrlProp" Target="../ctrlProps/ctrlProp36.xml"/><Relationship Id="rId49" Type="http://schemas.openxmlformats.org/officeDocument/2006/relationships/ctrlProp" Target="../ctrlProps/ctrlProp49.xml"/><Relationship Id="rId57" Type="http://schemas.openxmlformats.org/officeDocument/2006/relationships/ctrlProp" Target="../ctrlProps/ctrlProp57.xml"/><Relationship Id="rId106" Type="http://schemas.openxmlformats.org/officeDocument/2006/relationships/ctrlProp" Target="../ctrlProps/ctrlProp106.xml"/><Relationship Id="rId10" Type="http://schemas.openxmlformats.org/officeDocument/2006/relationships/ctrlProp" Target="../ctrlProps/ctrlProp10.xml"/><Relationship Id="rId31" Type="http://schemas.openxmlformats.org/officeDocument/2006/relationships/ctrlProp" Target="../ctrlProps/ctrlProp31.xml"/><Relationship Id="rId44" Type="http://schemas.openxmlformats.org/officeDocument/2006/relationships/ctrlProp" Target="../ctrlProps/ctrlProp44.xml"/><Relationship Id="rId52" Type="http://schemas.openxmlformats.org/officeDocument/2006/relationships/ctrlProp" Target="../ctrlProps/ctrlProp52.xml"/><Relationship Id="rId60" Type="http://schemas.openxmlformats.org/officeDocument/2006/relationships/ctrlProp" Target="../ctrlProps/ctrlProp60.xml"/><Relationship Id="rId65" Type="http://schemas.openxmlformats.org/officeDocument/2006/relationships/ctrlProp" Target="../ctrlProps/ctrlProp65.xml"/><Relationship Id="rId73" Type="http://schemas.openxmlformats.org/officeDocument/2006/relationships/ctrlProp" Target="../ctrlProps/ctrlProp73.xml"/><Relationship Id="rId78" Type="http://schemas.openxmlformats.org/officeDocument/2006/relationships/ctrlProp" Target="../ctrlProps/ctrlProp78.xml"/><Relationship Id="rId81" Type="http://schemas.openxmlformats.org/officeDocument/2006/relationships/ctrlProp" Target="../ctrlProps/ctrlProp81.xml"/><Relationship Id="rId86" Type="http://schemas.openxmlformats.org/officeDocument/2006/relationships/ctrlProp" Target="../ctrlProps/ctrlProp86.xml"/><Relationship Id="rId94" Type="http://schemas.openxmlformats.org/officeDocument/2006/relationships/ctrlProp" Target="../ctrlProps/ctrlProp94.xml"/><Relationship Id="rId99" Type="http://schemas.openxmlformats.org/officeDocument/2006/relationships/ctrlProp" Target="../ctrlProps/ctrlProp99.xml"/><Relationship Id="rId101" Type="http://schemas.openxmlformats.org/officeDocument/2006/relationships/ctrlProp" Target="../ctrlProps/ctrlProp101.xml"/><Relationship Id="rId4" Type="http://schemas.openxmlformats.org/officeDocument/2006/relationships/ctrlProp" Target="../ctrlProps/ctrlProp4.xml"/><Relationship Id="rId9" Type="http://schemas.openxmlformats.org/officeDocument/2006/relationships/ctrlProp" Target="../ctrlProps/ctrlProp9.xml"/><Relationship Id="rId13" Type="http://schemas.openxmlformats.org/officeDocument/2006/relationships/ctrlProp" Target="../ctrlProps/ctrlProp13.xml"/><Relationship Id="rId18" Type="http://schemas.openxmlformats.org/officeDocument/2006/relationships/ctrlProp" Target="../ctrlProps/ctrlProp18.xml"/><Relationship Id="rId39" Type="http://schemas.openxmlformats.org/officeDocument/2006/relationships/ctrlProp" Target="../ctrlProps/ctrlProp39.xml"/><Relationship Id="rId34" Type="http://schemas.openxmlformats.org/officeDocument/2006/relationships/ctrlProp" Target="../ctrlProps/ctrlProp34.xml"/><Relationship Id="rId50" Type="http://schemas.openxmlformats.org/officeDocument/2006/relationships/ctrlProp" Target="../ctrlProps/ctrlProp50.xml"/><Relationship Id="rId55" Type="http://schemas.openxmlformats.org/officeDocument/2006/relationships/ctrlProp" Target="../ctrlProps/ctrlProp55.xml"/><Relationship Id="rId76" Type="http://schemas.openxmlformats.org/officeDocument/2006/relationships/ctrlProp" Target="../ctrlProps/ctrlProp76.xml"/><Relationship Id="rId97" Type="http://schemas.openxmlformats.org/officeDocument/2006/relationships/ctrlProp" Target="../ctrlProps/ctrlProp97.xml"/><Relationship Id="rId104" Type="http://schemas.openxmlformats.org/officeDocument/2006/relationships/ctrlProp" Target="../ctrlProps/ctrlProp10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13" Type="http://schemas.openxmlformats.org/officeDocument/2006/relationships/oleObject" Target="../embeddings/oleObject6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12" Type="http://schemas.openxmlformats.org/officeDocument/2006/relationships/image" Target="../media/image5.emf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Relationship Id="rId6" Type="http://schemas.openxmlformats.org/officeDocument/2006/relationships/image" Target="../media/image2.emf"/><Relationship Id="rId11" Type="http://schemas.openxmlformats.org/officeDocument/2006/relationships/oleObject" Target="../embeddings/oleObject5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emf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vereinbarungen-pflege@ksv-sachsen.de" TargetMode="External"/><Relationship Id="rId1" Type="http://schemas.openxmlformats.org/officeDocument/2006/relationships/hyperlink" Target="mailto:vereinbarungen-pflege@ksv-sachs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W79"/>
  <sheetViews>
    <sheetView showGridLines="0" tabSelected="1" zoomScaleNormal="100" workbookViewId="0">
      <pane ySplit="4" topLeftCell="A5" activePane="bottomLeft" state="frozen"/>
      <selection pane="bottomLeft" activeCell="D6" sqref="D6:G6"/>
    </sheetView>
  </sheetViews>
  <sheetFormatPr baseColWidth="10" defaultRowHeight="14.25"/>
  <cols>
    <col min="1" max="1" width="4.625" style="4" customWidth="1"/>
    <col min="2" max="2" width="2.375" style="4" customWidth="1"/>
    <col min="3" max="3" width="14.25" style="4" customWidth="1"/>
    <col min="4" max="4" width="10.625" style="4" customWidth="1"/>
    <col min="5" max="7" width="3.125" style="4" customWidth="1"/>
    <col min="8" max="8" width="11" style="4"/>
    <col min="9" max="10" width="2.375" style="4" customWidth="1"/>
    <col min="11" max="11" width="12.125" style="4" customWidth="1"/>
    <col min="12" max="12" width="13.5" style="4" customWidth="1"/>
    <col min="13" max="13" width="8.125" style="4" customWidth="1"/>
    <col min="14" max="14" width="4.625" style="4" customWidth="1"/>
    <col min="15" max="15" width="11" customWidth="1"/>
    <col min="16" max="20" width="11" style="389" hidden="1" customWidth="1"/>
    <col min="21" max="22" width="11" style="790" hidden="1" customWidth="1"/>
  </cols>
  <sheetData>
    <row r="1" spans="1:23" ht="15">
      <c r="A1" s="1334" t="s">
        <v>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335"/>
      <c r="N1" s="1336"/>
      <c r="O1" s="733"/>
      <c r="P1" s="980" t="s">
        <v>468</v>
      </c>
      <c r="Q1" s="792"/>
      <c r="R1" s="837" t="s">
        <v>620</v>
      </c>
      <c r="S1" s="790"/>
      <c r="T1" s="792" t="s">
        <v>625</v>
      </c>
      <c r="V1" s="1182">
        <v>43691</v>
      </c>
    </row>
    <row r="2" spans="1:23" ht="15" customHeight="1">
      <c r="A2" s="1337" t="s">
        <v>1</v>
      </c>
      <c r="B2" s="1338"/>
      <c r="C2" s="1338"/>
      <c r="D2" s="1338"/>
      <c r="E2" s="1338"/>
      <c r="F2" s="1338"/>
      <c r="G2" s="1338"/>
      <c r="H2" s="1338"/>
      <c r="I2" s="1338"/>
      <c r="J2" s="1338"/>
      <c r="K2" s="1338"/>
      <c r="L2" s="1338"/>
      <c r="M2" s="1338"/>
      <c r="N2" s="1339"/>
      <c r="O2" s="735"/>
      <c r="P2" s="981" t="s">
        <v>536</v>
      </c>
      <c r="Q2" s="790"/>
      <c r="R2" s="790"/>
      <c r="S2" s="790"/>
      <c r="T2" s="1175" t="s">
        <v>748</v>
      </c>
      <c r="V2" s="1015">
        <v>43698</v>
      </c>
    </row>
    <row r="3" spans="1:23" ht="15">
      <c r="A3" s="1337" t="str">
        <f>IF(D11&gt;0,CONCATENATE(D11,", ",D15),"")</f>
        <v/>
      </c>
      <c r="B3" s="1338"/>
      <c r="C3" s="1338"/>
      <c r="D3" s="1338"/>
      <c r="E3" s="1338"/>
      <c r="F3" s="1338"/>
      <c r="G3" s="1338"/>
      <c r="H3" s="1338"/>
      <c r="I3" s="1338"/>
      <c r="J3" s="1338"/>
      <c r="K3" s="1338"/>
      <c r="L3" s="1338"/>
      <c r="M3" s="1338"/>
      <c r="N3" s="1339"/>
      <c r="O3" s="80"/>
      <c r="P3" s="790" t="s">
        <v>551</v>
      </c>
      <c r="Q3" s="790"/>
      <c r="R3" s="790"/>
      <c r="S3" s="790"/>
      <c r="T3" s="790"/>
      <c r="V3" s="1193">
        <v>43699</v>
      </c>
    </row>
    <row r="4" spans="1:23" ht="15">
      <c r="A4" s="1032"/>
      <c r="B4" s="1040" t="str">
        <f>IF(L6&gt;0,CONCATENATE("IK"," ",L6),"")</f>
        <v/>
      </c>
      <c r="C4" s="1033"/>
      <c r="D4" s="1033"/>
      <c r="E4" s="1033"/>
      <c r="F4" s="1033"/>
      <c r="G4" s="1033"/>
      <c r="H4" s="1033"/>
      <c r="I4" s="1033"/>
      <c r="J4" s="1033"/>
      <c r="K4" s="1038" t="s">
        <v>580</v>
      </c>
      <c r="L4" s="1347"/>
      <c r="M4" s="1348"/>
      <c r="N4" s="1034"/>
      <c r="O4" s="706"/>
      <c r="P4" s="837" t="s">
        <v>577</v>
      </c>
      <c r="Q4" s="790"/>
      <c r="R4" s="790"/>
      <c r="S4" s="1087">
        <v>43622</v>
      </c>
      <c r="T4" s="1208">
        <v>43711</v>
      </c>
      <c r="U4" s="1214">
        <v>43712</v>
      </c>
      <c r="V4" s="1312" t="s">
        <v>823</v>
      </c>
    </row>
    <row r="5" spans="1:23" ht="12.75" customHeight="1" thickBot="1">
      <c r="A5" s="1345">
        <v>43745</v>
      </c>
      <c r="B5" s="1346"/>
      <c r="C5" s="453"/>
      <c r="D5" s="9"/>
      <c r="E5" s="9"/>
      <c r="F5" s="9"/>
      <c r="G5" s="9"/>
      <c r="H5" s="9"/>
      <c r="I5" s="9"/>
      <c r="J5" s="9"/>
      <c r="K5" s="9"/>
      <c r="L5" s="1228" t="str">
        <f>IF(L4&lt;&gt;0,"","Antragsdatum bitte angeben")</f>
        <v>Antragsdatum bitte angeben</v>
      </c>
      <c r="M5" s="9"/>
      <c r="N5" s="5"/>
      <c r="P5" s="837" t="s">
        <v>814</v>
      </c>
      <c r="Q5" s="790"/>
      <c r="R5" s="790"/>
      <c r="S5" s="790"/>
      <c r="T5" s="790"/>
      <c r="V5" s="1312" t="s">
        <v>822</v>
      </c>
    </row>
    <row r="6" spans="1:23" ht="15" thickBot="1">
      <c r="A6" s="3"/>
      <c r="B6" s="6" t="s">
        <v>2</v>
      </c>
      <c r="C6" s="9"/>
      <c r="D6" s="1340"/>
      <c r="E6" s="1341"/>
      <c r="F6" s="1341"/>
      <c r="G6" s="1342"/>
      <c r="H6" s="9"/>
      <c r="I6" s="6"/>
      <c r="J6" s="6"/>
      <c r="K6" s="94" t="s">
        <v>4</v>
      </c>
      <c r="L6" s="1343"/>
      <c r="M6" s="1344"/>
      <c r="N6" s="5"/>
      <c r="O6" s="709"/>
      <c r="P6" s="791" t="s">
        <v>469</v>
      </c>
      <c r="Q6" s="790"/>
      <c r="R6" s="790"/>
      <c r="S6" s="790"/>
      <c r="T6" s="790"/>
      <c r="V6" s="1312" t="s">
        <v>824</v>
      </c>
    </row>
    <row r="7" spans="1:23" ht="12.75" customHeight="1">
      <c r="A7" s="3"/>
      <c r="B7" s="8"/>
      <c r="C7" s="983"/>
      <c r="D7" s="1229" t="str">
        <f>IF(D6&gt;0,IF(D6="teilstationäre Pflege","tst",IF(D6="Kurzzeitpflege","kzp","vst")),"")</f>
        <v/>
      </c>
      <c r="E7" s="1014"/>
      <c r="F7" s="1229" t="str">
        <f>IF(D6="4. Generation","4.","")</f>
        <v/>
      </c>
      <c r="G7" s="9"/>
      <c r="H7" s="9"/>
      <c r="I7" s="9"/>
      <c r="J7" s="9"/>
      <c r="K7" s="9"/>
      <c r="L7" s="9"/>
      <c r="M7" s="9"/>
      <c r="N7" s="5"/>
      <c r="O7" s="710"/>
      <c r="P7" s="979" t="s">
        <v>548</v>
      </c>
      <c r="Q7" s="790"/>
      <c r="R7" s="790"/>
      <c r="S7" s="790"/>
      <c r="T7" s="790"/>
      <c r="V7" s="1312" t="s">
        <v>830</v>
      </c>
      <c r="W7" s="1538"/>
    </row>
    <row r="8" spans="1:23" ht="12.75" customHeight="1">
      <c r="A8" s="3"/>
      <c r="B8" s="8"/>
      <c r="C8" s="983"/>
      <c r="D8" s="984"/>
      <c r="E8" s="9"/>
      <c r="F8" s="9"/>
      <c r="G8" s="9"/>
      <c r="H8" s="9"/>
      <c r="I8" s="9"/>
      <c r="J8" s="9"/>
      <c r="K8" s="9"/>
      <c r="L8" s="9"/>
      <c r="M8" s="9"/>
      <c r="N8" s="5"/>
      <c r="P8" s="790"/>
      <c r="Q8" s="790"/>
      <c r="R8" s="790"/>
      <c r="S8" s="790"/>
      <c r="T8" s="790"/>
      <c r="V8" s="1312" t="s">
        <v>831</v>
      </c>
      <c r="W8" s="1538"/>
    </row>
    <row r="9" spans="1:23">
      <c r="A9" s="3"/>
      <c r="B9" s="196" t="s">
        <v>5</v>
      </c>
      <c r="C9" s="985"/>
      <c r="D9" s="985"/>
      <c r="E9" s="167"/>
      <c r="F9" s="167"/>
      <c r="G9" s="167"/>
      <c r="H9" s="167"/>
      <c r="I9" s="167"/>
      <c r="J9" s="167"/>
      <c r="K9" s="167"/>
      <c r="L9" s="167"/>
      <c r="M9" s="167"/>
      <c r="N9" s="5"/>
      <c r="O9" s="711"/>
      <c r="P9" s="790"/>
      <c r="Q9" s="790"/>
      <c r="R9" s="790"/>
      <c r="S9" s="790"/>
      <c r="T9" s="790"/>
    </row>
    <row r="10" spans="1:23" ht="12.75" customHeight="1">
      <c r="A10" s="3"/>
      <c r="B10" s="9"/>
      <c r="C10" s="9"/>
      <c r="D10" s="109" t="str">
        <f>IF(AND(D6=0,D11&lt;&gt;0),"bitte wählen Sie noch die Art der Einrichtung aus","")</f>
        <v/>
      </c>
      <c r="E10" s="9"/>
      <c r="F10" s="9"/>
      <c r="G10" s="9"/>
      <c r="H10" s="9"/>
      <c r="I10" s="9"/>
      <c r="J10" s="9"/>
      <c r="K10" s="9"/>
      <c r="L10" s="9"/>
      <c r="M10" s="9"/>
      <c r="N10" s="5"/>
      <c r="O10" s="11"/>
      <c r="P10" s="1035" t="s">
        <v>610</v>
      </c>
      <c r="Q10" s="790"/>
      <c r="R10" s="790"/>
      <c r="S10" s="790"/>
      <c r="T10" s="790"/>
    </row>
    <row r="11" spans="1:23">
      <c r="A11" s="3"/>
      <c r="B11" s="12" t="s">
        <v>212</v>
      </c>
      <c r="C11" s="9"/>
      <c r="D11" s="1359"/>
      <c r="E11" s="1359"/>
      <c r="F11" s="1359"/>
      <c r="G11" s="1359"/>
      <c r="H11" s="1359"/>
      <c r="I11" s="1359"/>
      <c r="J11" s="1359"/>
      <c r="K11" s="1359"/>
      <c r="L11" s="1359"/>
      <c r="M11" s="1359"/>
      <c r="N11" s="13"/>
      <c r="O11" s="721"/>
      <c r="P11" s="1035" t="s">
        <v>583</v>
      </c>
      <c r="Q11" s="790"/>
      <c r="R11" s="790"/>
      <c r="S11" s="790"/>
      <c r="T11" s="790"/>
    </row>
    <row r="12" spans="1:23">
      <c r="A12" s="3"/>
      <c r="B12" s="9"/>
      <c r="C12" s="9"/>
      <c r="D12" s="14" t="s">
        <v>6</v>
      </c>
      <c r="E12" s="14"/>
      <c r="F12" s="9"/>
      <c r="G12" s="9"/>
      <c r="H12" s="9"/>
      <c r="I12" s="9"/>
      <c r="J12" s="14"/>
      <c r="K12" s="14"/>
      <c r="L12" s="14"/>
      <c r="M12" s="14"/>
      <c r="N12" s="15"/>
      <c r="P12" s="1035" t="s">
        <v>581</v>
      </c>
      <c r="Q12" s="790"/>
      <c r="R12" s="790"/>
      <c r="S12" s="790"/>
      <c r="T12" s="790"/>
    </row>
    <row r="13" spans="1:23">
      <c r="A13" s="3"/>
      <c r="B13" s="9"/>
      <c r="C13" s="9"/>
      <c r="D13" s="1359"/>
      <c r="E13" s="1359"/>
      <c r="F13" s="1359"/>
      <c r="G13" s="1359"/>
      <c r="H13" s="1359"/>
      <c r="I13" s="1359"/>
      <c r="J13" s="1359"/>
      <c r="K13" s="1359"/>
      <c r="L13" s="1359"/>
      <c r="M13" s="1359"/>
      <c r="N13" s="5"/>
      <c r="P13" s="790"/>
      <c r="Q13" s="790"/>
      <c r="R13" s="790"/>
      <c r="S13" s="790"/>
      <c r="T13" s="790"/>
    </row>
    <row r="14" spans="1:23">
      <c r="A14" s="3"/>
      <c r="B14" s="9"/>
      <c r="C14" s="9"/>
      <c r="D14" s="14" t="s">
        <v>7</v>
      </c>
      <c r="E14" s="14"/>
      <c r="F14" s="9"/>
      <c r="G14" s="9"/>
      <c r="H14" s="9"/>
      <c r="I14" s="9"/>
      <c r="J14" s="9"/>
      <c r="K14" s="9"/>
      <c r="L14" s="9"/>
      <c r="M14" s="9"/>
      <c r="N14" s="5"/>
      <c r="O14" s="730"/>
      <c r="P14" s="1035" t="s">
        <v>613</v>
      </c>
      <c r="Q14" s="790"/>
      <c r="R14" s="790"/>
      <c r="S14" s="790"/>
      <c r="T14" s="790"/>
    </row>
    <row r="15" spans="1:23">
      <c r="A15" s="3"/>
      <c r="B15" s="9"/>
      <c r="C15" s="9"/>
      <c r="D15" s="1358"/>
      <c r="E15" s="1356"/>
      <c r="F15" s="1356"/>
      <c r="G15" s="1356"/>
      <c r="H15" s="1356"/>
      <c r="I15" s="1356"/>
      <c r="J15" s="1356"/>
      <c r="K15" s="1356"/>
      <c r="L15" s="1356"/>
      <c r="M15" s="1356"/>
      <c r="N15" s="5"/>
      <c r="O15" s="747"/>
      <c r="P15" s="790"/>
      <c r="Q15" s="790"/>
      <c r="R15" s="790"/>
      <c r="S15" s="790"/>
      <c r="T15" s="790"/>
    </row>
    <row r="16" spans="1:23">
      <c r="A16" s="3"/>
      <c r="B16" s="9"/>
      <c r="C16" s="9"/>
      <c r="D16" s="14" t="s">
        <v>8</v>
      </c>
      <c r="E16" s="14"/>
      <c r="F16" s="9"/>
      <c r="G16" s="9"/>
      <c r="H16" s="9"/>
      <c r="I16" s="9"/>
      <c r="J16" s="9"/>
      <c r="K16" s="9"/>
      <c r="L16" s="9"/>
      <c r="M16" s="9"/>
      <c r="N16" s="5"/>
      <c r="P16" s="790"/>
      <c r="Q16" s="790"/>
      <c r="R16" s="790"/>
      <c r="S16" s="790"/>
      <c r="T16" s="790"/>
    </row>
    <row r="17" spans="1:20">
      <c r="A17" s="3"/>
      <c r="B17" s="9"/>
      <c r="C17" s="9"/>
      <c r="D17" s="1357"/>
      <c r="E17" s="1353"/>
      <c r="F17" s="1353"/>
      <c r="G17" s="1353"/>
      <c r="H17" s="1354"/>
      <c r="I17" s="9"/>
      <c r="J17" s="1358"/>
      <c r="K17" s="1356"/>
      <c r="L17" s="1356"/>
      <c r="M17" s="1356"/>
      <c r="N17" s="5"/>
      <c r="P17" s="790"/>
      <c r="Q17" s="790"/>
      <c r="R17" s="790"/>
      <c r="S17" s="790"/>
      <c r="T17" s="790"/>
    </row>
    <row r="18" spans="1:20">
      <c r="A18" s="3"/>
      <c r="B18" s="9"/>
      <c r="C18" s="9"/>
      <c r="D18" s="14" t="s">
        <v>9</v>
      </c>
      <c r="E18" s="14"/>
      <c r="F18" s="9"/>
      <c r="G18" s="9"/>
      <c r="H18" s="9"/>
      <c r="I18" s="9"/>
      <c r="J18" s="14" t="s">
        <v>10</v>
      </c>
      <c r="K18" s="14"/>
      <c r="L18" s="14"/>
      <c r="M18" s="9"/>
      <c r="N18" s="5"/>
      <c r="P18" s="790"/>
      <c r="Q18" s="790"/>
      <c r="R18" s="790"/>
      <c r="S18" s="790"/>
      <c r="T18" s="790"/>
    </row>
    <row r="19" spans="1:20">
      <c r="A19" s="3"/>
      <c r="B19" s="9"/>
      <c r="C19" s="9"/>
      <c r="D19" s="1352"/>
      <c r="E19" s="1353"/>
      <c r="F19" s="1353"/>
      <c r="G19" s="1353"/>
      <c r="H19" s="1354"/>
      <c r="I19" s="9"/>
      <c r="J19" s="1355"/>
      <c r="K19" s="1356"/>
      <c r="L19" s="1356"/>
      <c r="M19" s="1356"/>
      <c r="N19" s="5"/>
      <c r="P19" s="790"/>
      <c r="Q19" s="790"/>
      <c r="R19" s="793"/>
      <c r="S19" s="790"/>
      <c r="T19" s="790"/>
    </row>
    <row r="20" spans="1:20">
      <c r="A20" s="3"/>
      <c r="B20" s="9"/>
      <c r="C20" s="9"/>
      <c r="D20" s="14" t="s">
        <v>11</v>
      </c>
      <c r="E20" s="14"/>
      <c r="F20" s="9"/>
      <c r="G20" s="9"/>
      <c r="H20" s="9"/>
      <c r="I20" s="9"/>
      <c r="J20" s="16" t="s">
        <v>214</v>
      </c>
      <c r="K20" s="9"/>
      <c r="L20" s="9"/>
      <c r="M20" s="9"/>
      <c r="N20" s="5"/>
      <c r="P20" s="790"/>
      <c r="Q20" s="790"/>
      <c r="R20" s="790"/>
      <c r="S20" s="790"/>
      <c r="T20" s="790"/>
    </row>
    <row r="21" spans="1:20" ht="14.25" customHeight="1">
      <c r="A21" s="3"/>
      <c r="B21" s="9"/>
      <c r="C21" s="9"/>
      <c r="D21" s="1357"/>
      <c r="E21" s="1353"/>
      <c r="F21" s="1353"/>
      <c r="G21" s="1353"/>
      <c r="H21" s="1354"/>
      <c r="I21" s="9"/>
      <c r="J21" s="1358"/>
      <c r="K21" s="1356"/>
      <c r="L21" s="1356"/>
      <c r="M21" s="1356"/>
      <c r="N21" s="5"/>
      <c r="P21" s="790"/>
      <c r="Q21" s="790"/>
      <c r="R21" s="790"/>
      <c r="S21" s="790"/>
      <c r="T21" s="790"/>
    </row>
    <row r="22" spans="1:20">
      <c r="A22" s="3"/>
      <c r="B22" s="9"/>
      <c r="C22" s="9"/>
      <c r="D22" s="14" t="s">
        <v>213</v>
      </c>
      <c r="E22" s="14"/>
      <c r="F22" s="9"/>
      <c r="G22" s="9"/>
      <c r="H22" s="9"/>
      <c r="I22" s="9"/>
      <c r="J22" s="14" t="s">
        <v>12</v>
      </c>
      <c r="K22" s="14"/>
      <c r="L22" s="14"/>
      <c r="M22" s="9"/>
      <c r="N22" s="5"/>
      <c r="P22" s="790"/>
      <c r="Q22" s="790"/>
      <c r="R22" s="790"/>
      <c r="S22" s="790"/>
      <c r="T22" s="790"/>
    </row>
    <row r="23" spans="1:20" ht="12.75" customHeight="1">
      <c r="A23" s="3"/>
      <c r="B23" s="9"/>
      <c r="C23" s="9"/>
      <c r="D23" s="14"/>
      <c r="E23" s="14"/>
      <c r="F23" s="9"/>
      <c r="G23" s="9"/>
      <c r="H23" s="9"/>
      <c r="I23" s="9"/>
      <c r="J23" s="16"/>
      <c r="K23" s="9"/>
      <c r="L23" s="9"/>
      <c r="M23" s="9"/>
      <c r="N23" s="5"/>
      <c r="P23" s="790"/>
      <c r="Q23" s="790"/>
      <c r="R23" s="790"/>
      <c r="S23" s="790"/>
      <c r="T23" s="790"/>
    </row>
    <row r="24" spans="1:20" ht="12.75" customHeight="1">
      <c r="A24" s="3"/>
      <c r="B24" s="9"/>
      <c r="C24" s="9"/>
      <c r="D24" s="14"/>
      <c r="E24" s="14"/>
      <c r="F24" s="9"/>
      <c r="G24" s="9"/>
      <c r="H24" s="9"/>
      <c r="I24" s="9"/>
      <c r="J24" s="9"/>
      <c r="K24" s="9"/>
      <c r="L24" s="9"/>
      <c r="M24" s="9"/>
      <c r="N24" s="5"/>
      <c r="P24" s="790"/>
      <c r="Q24" s="790"/>
      <c r="R24" s="790"/>
      <c r="S24" s="790"/>
      <c r="T24" s="790"/>
    </row>
    <row r="25" spans="1:20">
      <c r="A25" s="3"/>
      <c r="B25" s="12" t="s">
        <v>13</v>
      </c>
      <c r="C25" s="9"/>
      <c r="D25" s="1360"/>
      <c r="E25" s="1360"/>
      <c r="F25" s="1360"/>
      <c r="G25" s="1360"/>
      <c r="H25" s="1360"/>
      <c r="I25" s="1360"/>
      <c r="J25" s="1360"/>
      <c r="K25" s="1360"/>
      <c r="L25" s="1360"/>
      <c r="M25" s="1360"/>
      <c r="N25" s="5"/>
      <c r="P25" s="790"/>
      <c r="Q25" s="790"/>
      <c r="R25" s="790"/>
      <c r="S25" s="790"/>
      <c r="T25" s="790"/>
    </row>
    <row r="26" spans="1:20">
      <c r="A26" s="3"/>
      <c r="B26" s="9"/>
      <c r="C26" s="9"/>
      <c r="D26" s="14" t="s">
        <v>14</v>
      </c>
      <c r="E26" s="14"/>
      <c r="F26" s="9"/>
      <c r="G26" s="9"/>
      <c r="H26" s="9"/>
      <c r="I26" s="9"/>
      <c r="J26" s="9"/>
      <c r="K26" s="9"/>
      <c r="L26" s="9"/>
      <c r="M26" s="9"/>
      <c r="N26" s="5"/>
      <c r="P26" s="790"/>
      <c r="Q26" s="790"/>
      <c r="R26" s="790"/>
      <c r="S26" s="790"/>
      <c r="T26" s="790"/>
    </row>
    <row r="27" spans="1:20">
      <c r="A27" s="3"/>
      <c r="B27" s="9"/>
      <c r="C27" s="9"/>
      <c r="D27" s="1360"/>
      <c r="E27" s="1354"/>
      <c r="F27" s="1354"/>
      <c r="G27" s="1354"/>
      <c r="H27" s="1354"/>
      <c r="I27" s="1354"/>
      <c r="J27" s="1354"/>
      <c r="K27" s="1354"/>
      <c r="L27" s="1354"/>
      <c r="M27" s="1354"/>
      <c r="N27" s="5"/>
      <c r="P27" s="790"/>
      <c r="Q27" s="790"/>
      <c r="R27" s="790"/>
      <c r="S27" s="790"/>
      <c r="T27" s="790"/>
    </row>
    <row r="28" spans="1:20" ht="14.25" customHeight="1">
      <c r="A28" s="3"/>
      <c r="B28" s="9"/>
      <c r="C28" s="9"/>
      <c r="D28" s="14" t="s">
        <v>7</v>
      </c>
      <c r="E28" s="14"/>
      <c r="F28" s="9"/>
      <c r="G28" s="9"/>
      <c r="H28" s="9"/>
      <c r="I28" s="9"/>
      <c r="J28" s="9"/>
      <c r="K28" s="9"/>
      <c r="L28" s="9"/>
      <c r="M28" s="9"/>
      <c r="N28" s="5"/>
      <c r="P28" s="790"/>
      <c r="Q28" s="790"/>
      <c r="R28" s="790"/>
      <c r="S28" s="790"/>
      <c r="T28" s="790"/>
    </row>
    <row r="29" spans="1:20">
      <c r="A29" s="3"/>
      <c r="B29" s="9"/>
      <c r="C29" s="9"/>
      <c r="D29" s="1358"/>
      <c r="E29" s="1356"/>
      <c r="F29" s="1356"/>
      <c r="G29" s="1356"/>
      <c r="H29" s="1356"/>
      <c r="I29" s="1356"/>
      <c r="J29" s="1356"/>
      <c r="K29" s="1356"/>
      <c r="L29" s="1356"/>
      <c r="M29" s="1356"/>
      <c r="N29" s="5"/>
      <c r="P29" s="790"/>
      <c r="Q29" s="790"/>
      <c r="R29" s="790"/>
      <c r="S29" s="790"/>
      <c r="T29" s="790"/>
    </row>
    <row r="30" spans="1:20">
      <c r="A30" s="3"/>
      <c r="B30" s="9"/>
      <c r="C30" s="9"/>
      <c r="D30" s="14" t="s">
        <v>8</v>
      </c>
      <c r="E30" s="14"/>
      <c r="F30" s="9"/>
      <c r="G30" s="9"/>
      <c r="H30" s="9"/>
      <c r="I30" s="9"/>
      <c r="J30" s="9"/>
      <c r="K30" s="9"/>
      <c r="L30" s="9"/>
      <c r="M30" s="9"/>
      <c r="N30" s="5"/>
      <c r="P30" s="790"/>
      <c r="Q30" s="790"/>
      <c r="R30" s="790"/>
      <c r="S30" s="790"/>
      <c r="T30" s="790"/>
    </row>
    <row r="31" spans="1:20">
      <c r="A31" s="3"/>
      <c r="B31" s="9"/>
      <c r="C31" s="9"/>
      <c r="D31" s="1357"/>
      <c r="E31" s="1353"/>
      <c r="F31" s="1353"/>
      <c r="G31" s="1353"/>
      <c r="H31" s="1354"/>
      <c r="I31" s="9"/>
      <c r="J31" s="1358"/>
      <c r="K31" s="1356"/>
      <c r="L31" s="1356"/>
      <c r="M31" s="1356"/>
      <c r="N31" s="5"/>
      <c r="P31" s="790"/>
      <c r="Q31" s="790"/>
      <c r="R31" s="790"/>
      <c r="S31" s="790"/>
      <c r="T31" s="790"/>
    </row>
    <row r="32" spans="1:20">
      <c r="A32" s="3"/>
      <c r="B32" s="9"/>
      <c r="C32" s="9"/>
      <c r="D32" s="14" t="s">
        <v>9</v>
      </c>
      <c r="E32" s="14"/>
      <c r="F32" s="9"/>
      <c r="G32" s="9"/>
      <c r="H32" s="9"/>
      <c r="I32" s="9"/>
      <c r="J32" s="14" t="s">
        <v>10</v>
      </c>
      <c r="K32" s="14"/>
      <c r="L32" s="14"/>
      <c r="M32" s="14"/>
      <c r="N32" s="15"/>
      <c r="P32" s="790"/>
      <c r="Q32" s="790"/>
      <c r="R32" s="790"/>
      <c r="S32" s="790"/>
      <c r="T32" s="790"/>
    </row>
    <row r="33" spans="1:22">
      <c r="A33" s="3"/>
      <c r="B33" s="9"/>
      <c r="C33" s="9"/>
      <c r="D33" s="1352"/>
      <c r="E33" s="1353"/>
      <c r="F33" s="1353"/>
      <c r="G33" s="1353"/>
      <c r="H33" s="1354"/>
      <c r="I33" s="9"/>
      <c r="J33" s="1355"/>
      <c r="K33" s="1356"/>
      <c r="L33" s="1356"/>
      <c r="M33" s="1356"/>
      <c r="N33" s="5"/>
    </row>
    <row r="34" spans="1:22">
      <c r="A34" s="3"/>
      <c r="B34" s="9"/>
      <c r="C34" s="9"/>
      <c r="D34" s="14" t="s">
        <v>11</v>
      </c>
      <c r="E34" s="14"/>
      <c r="F34" s="9"/>
      <c r="G34" s="9"/>
      <c r="H34" s="9"/>
      <c r="I34" s="9"/>
      <c r="J34" s="16" t="s">
        <v>214</v>
      </c>
      <c r="K34" s="9"/>
      <c r="L34" s="9"/>
      <c r="M34" s="9"/>
      <c r="N34" s="5"/>
    </row>
    <row r="35" spans="1:22">
      <c r="A35" s="3"/>
      <c r="B35" s="9"/>
      <c r="C35" s="9"/>
      <c r="D35" s="1360"/>
      <c r="E35" s="1354"/>
      <c r="F35" s="1354"/>
      <c r="G35" s="1354"/>
      <c r="H35" s="1354"/>
      <c r="I35" s="1354"/>
      <c r="J35" s="1354"/>
      <c r="K35" s="1354"/>
      <c r="L35" s="1354"/>
      <c r="M35" s="1354"/>
      <c r="N35" s="5"/>
      <c r="O35" s="730"/>
    </row>
    <row r="36" spans="1:22">
      <c r="A36" s="3"/>
      <c r="B36" s="9"/>
      <c r="C36" s="9"/>
      <c r="D36" s="14" t="s">
        <v>420</v>
      </c>
      <c r="E36" s="14"/>
      <c r="F36" s="9"/>
      <c r="G36" s="9"/>
      <c r="H36" s="9"/>
      <c r="I36" s="9"/>
      <c r="J36" s="16"/>
      <c r="K36" s="9"/>
      <c r="L36" s="9"/>
      <c r="M36" s="9"/>
      <c r="N36" s="5"/>
    </row>
    <row r="37" spans="1:22" ht="12.75" customHeight="1">
      <c r="A37" s="3"/>
      <c r="B37" s="9"/>
      <c r="C37" s="9"/>
      <c r="D37" s="14"/>
      <c r="E37" s="14"/>
      <c r="F37" s="9"/>
      <c r="G37" s="9"/>
      <c r="H37" s="9"/>
      <c r="I37" s="9"/>
      <c r="J37" s="9"/>
      <c r="K37" s="9"/>
      <c r="L37" s="9"/>
      <c r="M37" s="9"/>
      <c r="N37" s="5"/>
    </row>
    <row r="38" spans="1:22">
      <c r="A38" s="3"/>
      <c r="B38" s="196" t="s">
        <v>15</v>
      </c>
      <c r="C38" s="167"/>
      <c r="D38" s="358"/>
      <c r="E38" s="358"/>
      <c r="F38" s="167"/>
      <c r="G38" s="167"/>
      <c r="H38" s="167"/>
      <c r="I38" s="167"/>
      <c r="J38" s="167"/>
      <c r="K38" s="167"/>
      <c r="L38" s="167"/>
      <c r="M38" s="167"/>
      <c r="N38" s="5"/>
    </row>
    <row r="39" spans="1:22" ht="6" customHeight="1">
      <c r="A39" s="3"/>
      <c r="B39" s="9"/>
      <c r="C39" s="9"/>
      <c r="D39" s="14"/>
      <c r="E39" s="14"/>
      <c r="F39" s="9"/>
      <c r="G39" s="9"/>
      <c r="H39" s="9"/>
      <c r="I39" s="9"/>
      <c r="J39" s="9"/>
      <c r="K39" s="9"/>
      <c r="L39" s="9"/>
      <c r="M39" s="9"/>
      <c r="N39" s="5"/>
    </row>
    <row r="40" spans="1:22">
      <c r="A40" s="3"/>
      <c r="B40" s="9"/>
      <c r="C40" s="18"/>
      <c r="D40" s="9"/>
      <c r="E40" s="12"/>
      <c r="F40" s="9"/>
      <c r="G40" s="19" t="s">
        <v>16</v>
      </c>
      <c r="H40" s="1361"/>
      <c r="I40" s="1354"/>
      <c r="J40" s="1354"/>
      <c r="K40" s="1354"/>
      <c r="L40" s="1354"/>
      <c r="M40" s="1354"/>
      <c r="N40" s="5"/>
    </row>
    <row r="41" spans="1:22" ht="6" customHeight="1">
      <c r="A41" s="3"/>
      <c r="B41" s="9"/>
      <c r="C41" s="9"/>
      <c r="D41" s="14"/>
      <c r="E41" s="14"/>
      <c r="F41" s="9"/>
      <c r="G41" s="9"/>
      <c r="H41" s="9"/>
      <c r="I41" s="9"/>
      <c r="J41" s="9"/>
      <c r="K41" s="9"/>
      <c r="L41" s="9"/>
      <c r="M41" s="9"/>
      <c r="N41" s="5"/>
    </row>
    <row r="42" spans="1:22" s="4" customFormat="1" ht="12.75" customHeight="1">
      <c r="A42" s="3"/>
      <c r="B42" s="12" t="s">
        <v>17</v>
      </c>
      <c r="C42" s="9"/>
      <c r="D42" s="14"/>
      <c r="E42" s="14"/>
      <c r="F42" s="9"/>
      <c r="G42" s="9"/>
      <c r="H42" s="9"/>
      <c r="I42" s="20"/>
      <c r="J42" s="9"/>
      <c r="K42" s="9"/>
      <c r="L42" s="9"/>
      <c r="M42" s="9"/>
      <c r="N42" s="5"/>
      <c r="O42" s="11"/>
      <c r="P42" s="389"/>
      <c r="Q42" s="389"/>
      <c r="R42" s="389"/>
      <c r="S42" s="389"/>
      <c r="T42" s="389"/>
      <c r="U42" s="389"/>
      <c r="V42" s="389"/>
    </row>
    <row r="43" spans="1:22" ht="12.75" customHeight="1" thickBot="1">
      <c r="A43" s="3"/>
      <c r="B43" s="9"/>
      <c r="C43" s="9"/>
      <c r="D43" s="14"/>
      <c r="E43" s="14"/>
      <c r="F43" s="9"/>
      <c r="G43" s="9"/>
      <c r="H43" s="9"/>
      <c r="I43" s="9"/>
      <c r="J43" s="9"/>
      <c r="K43" s="9"/>
      <c r="L43" s="9"/>
      <c r="M43" s="9"/>
      <c r="N43" s="5"/>
    </row>
    <row r="44" spans="1:22" ht="15" customHeight="1" thickBot="1">
      <c r="A44" s="3"/>
      <c r="B44" s="17" t="s">
        <v>18</v>
      </c>
      <c r="C44" s="9"/>
      <c r="D44" s="9"/>
      <c r="E44" s="9"/>
      <c r="F44" s="9"/>
      <c r="G44" s="9"/>
      <c r="H44" s="9"/>
      <c r="I44" s="9"/>
      <c r="J44" s="9"/>
      <c r="K44" s="9"/>
      <c r="L44" s="352"/>
      <c r="M44" s="9"/>
      <c r="N44" s="5"/>
    </row>
    <row r="45" spans="1:22" ht="12.75" customHeight="1" thickBot="1">
      <c r="A45" s="3"/>
      <c r="B45" s="17" t="s">
        <v>418</v>
      </c>
      <c r="C45" s="727"/>
      <c r="D45" s="727"/>
      <c r="E45" s="727"/>
      <c r="F45" s="727"/>
      <c r="G45" s="727"/>
      <c r="H45" s="727"/>
      <c r="I45" s="727"/>
      <c r="J45" s="727"/>
      <c r="K45" s="727"/>
      <c r="L45" s="352"/>
      <c r="M45" s="9"/>
      <c r="N45" s="5"/>
      <c r="O45" s="709"/>
      <c r="P45" s="794"/>
      <c r="Q45" s="795"/>
    </row>
    <row r="46" spans="1:22" ht="12.75" customHeight="1">
      <c r="A46" s="21"/>
      <c r="B46" s="22" t="s">
        <v>19</v>
      </c>
      <c r="C46" s="23"/>
      <c r="D46" s="24"/>
      <c r="E46" s="25"/>
      <c r="F46" s="26"/>
      <c r="G46" s="26"/>
      <c r="H46" s="27"/>
      <c r="I46" s="9"/>
      <c r="J46" s="9"/>
      <c r="K46" s="9"/>
      <c r="L46" s="19" t="s">
        <v>20</v>
      </c>
      <c r="M46" s="20"/>
      <c r="N46" s="29"/>
      <c r="O46" s="709"/>
      <c r="P46" s="796"/>
      <c r="Q46" s="797"/>
      <c r="R46" s="798"/>
      <c r="S46" s="270"/>
      <c r="T46" s="270"/>
    </row>
    <row r="47" spans="1:22" ht="12.75" customHeight="1" thickBot="1">
      <c r="A47" s="3"/>
      <c r="B47" s="17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5"/>
      <c r="O47" s="709"/>
    </row>
    <row r="48" spans="1:22" s="1" customFormat="1" ht="13.5" thickBot="1">
      <c r="A48" s="31"/>
      <c r="B48" s="32" t="s">
        <v>21</v>
      </c>
      <c r="C48" s="33"/>
      <c r="D48" s="33"/>
      <c r="E48" s="34"/>
      <c r="F48" s="1362" t="s">
        <v>22</v>
      </c>
      <c r="G48" s="1362"/>
      <c r="H48" s="353"/>
      <c r="I48" s="355"/>
      <c r="J48" s="356" t="s">
        <v>23</v>
      </c>
      <c r="K48" s="354"/>
      <c r="L48" s="33"/>
      <c r="M48" s="33"/>
      <c r="N48" s="35"/>
      <c r="P48" s="400"/>
      <c r="Q48" s="400"/>
      <c r="R48" s="400"/>
      <c r="S48" s="400"/>
      <c r="T48" s="400"/>
      <c r="U48" s="799"/>
      <c r="V48" s="799"/>
    </row>
    <row r="49" spans="1:22" ht="12.75" customHeight="1">
      <c r="A49" s="3"/>
      <c r="B49" s="17"/>
      <c r="C49" s="9"/>
      <c r="D49" s="9"/>
      <c r="E49" s="9"/>
      <c r="F49" s="9"/>
      <c r="G49" s="9"/>
      <c r="H49" s="1230" t="str">
        <f>IF(H48&lt;L4,"Vereinbarungsbeginn liegt vor Antragstellung","")</f>
        <v/>
      </c>
      <c r="I49" s="9"/>
      <c r="J49" s="9"/>
      <c r="K49" s="9"/>
      <c r="L49" s="9"/>
      <c r="M49" s="9"/>
      <c r="N49" s="5"/>
      <c r="P49" s="1039" t="s">
        <v>601</v>
      </c>
    </row>
    <row r="50" spans="1:22" ht="12.75" customHeight="1">
      <c r="A50" s="36"/>
      <c r="B50" s="359" t="s">
        <v>252</v>
      </c>
      <c r="C50" s="360"/>
      <c r="D50" s="360"/>
      <c r="E50" s="360"/>
      <c r="F50" s="360"/>
      <c r="G50" s="360"/>
      <c r="H50" s="360"/>
      <c r="I50" s="360"/>
      <c r="J50" s="360"/>
      <c r="K50" s="360"/>
      <c r="L50" s="360"/>
      <c r="M50" s="360"/>
      <c r="N50" s="38"/>
    </row>
    <row r="51" spans="1:22" ht="6.75" customHeight="1">
      <c r="A51" s="36"/>
      <c r="B51" s="22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8"/>
      <c r="R51" s="270"/>
    </row>
    <row r="52" spans="1:22" ht="15" customHeight="1">
      <c r="A52" s="36"/>
      <c r="B52" s="37"/>
      <c r="C52" s="441" t="s">
        <v>249</v>
      </c>
      <c r="D52" s="39"/>
      <c r="E52" s="40"/>
      <c r="F52" s="40"/>
      <c r="G52" s="455"/>
      <c r="H52" s="41"/>
      <c r="I52" s="457"/>
      <c r="J52" s="43"/>
      <c r="K52" s="44"/>
      <c r="L52" s="42"/>
      <c r="M52" s="44"/>
      <c r="N52" s="5"/>
      <c r="O52" s="74"/>
      <c r="R52" s="270"/>
    </row>
    <row r="53" spans="1:22" s="1" customFormat="1" ht="14.25" customHeight="1">
      <c r="A53" s="31"/>
      <c r="B53" s="45"/>
      <c r="C53" s="46" t="s">
        <v>24</v>
      </c>
      <c r="D53" s="47"/>
      <c r="E53" s="47"/>
      <c r="F53" s="48"/>
      <c r="G53" s="48"/>
      <c r="H53" s="445" t="s">
        <v>253</v>
      </c>
      <c r="I53" s="48"/>
      <c r="J53" s="48"/>
      <c r="K53" s="443"/>
      <c r="L53" s="45"/>
      <c r="M53" s="49"/>
      <c r="N53" s="35"/>
      <c r="P53" s="400"/>
      <c r="Q53" s="400"/>
      <c r="R53" s="265"/>
      <c r="S53" s="400"/>
      <c r="T53" s="400"/>
      <c r="U53" s="799"/>
      <c r="V53" s="799"/>
    </row>
    <row r="54" spans="1:22" s="1" customFormat="1" ht="14.25" customHeight="1">
      <c r="A54" s="31"/>
      <c r="B54" s="45"/>
      <c r="C54" s="46" t="s">
        <v>25</v>
      </c>
      <c r="D54" s="47"/>
      <c r="E54" s="47"/>
      <c r="F54" s="48"/>
      <c r="G54" s="48"/>
      <c r="H54" s="445" t="s">
        <v>253</v>
      </c>
      <c r="I54" s="48"/>
      <c r="J54" s="48"/>
      <c r="K54" s="444"/>
      <c r="L54" s="456"/>
      <c r="M54" s="454"/>
      <c r="N54" s="35"/>
      <c r="P54" s="400"/>
      <c r="Q54" s="400"/>
      <c r="R54" s="265"/>
      <c r="S54" s="400"/>
      <c r="T54" s="400"/>
      <c r="U54" s="799"/>
      <c r="V54" s="799"/>
    </row>
    <row r="55" spans="1:22" s="1" customFormat="1" ht="14.25" customHeight="1">
      <c r="A55" s="31"/>
      <c r="B55" s="45"/>
      <c r="C55" s="46" t="s">
        <v>26</v>
      </c>
      <c r="D55" s="47"/>
      <c r="E55" s="47"/>
      <c r="F55" s="48"/>
      <c r="G55" s="48"/>
      <c r="H55" s="445" t="s">
        <v>253</v>
      </c>
      <c r="I55" s="48"/>
      <c r="J55" s="48"/>
      <c r="K55" s="444"/>
      <c r="L55" s="456"/>
      <c r="M55" s="454"/>
      <c r="N55" s="35"/>
      <c r="P55" s="400"/>
      <c r="Q55" s="400"/>
      <c r="R55" s="400"/>
      <c r="S55" s="400"/>
      <c r="T55" s="400"/>
      <c r="U55" s="799"/>
      <c r="V55" s="799"/>
    </row>
    <row r="56" spans="1:22" s="1" customFormat="1" ht="14.25" customHeight="1">
      <c r="A56" s="31"/>
      <c r="B56" s="45"/>
      <c r="C56" s="46" t="s">
        <v>27</v>
      </c>
      <c r="D56" s="47"/>
      <c r="E56" s="47"/>
      <c r="F56" s="48"/>
      <c r="G56" s="48"/>
      <c r="H56" s="445" t="s">
        <v>253</v>
      </c>
      <c r="I56" s="48"/>
      <c r="J56" s="48"/>
      <c r="K56" s="443"/>
      <c r="L56" s="456"/>
      <c r="M56" s="454"/>
      <c r="N56" s="35"/>
      <c r="P56" s="400"/>
      <c r="Q56" s="400"/>
      <c r="R56" s="400"/>
      <c r="S56" s="400"/>
      <c r="T56" s="400"/>
      <c r="U56" s="799"/>
      <c r="V56" s="799"/>
    </row>
    <row r="57" spans="1:22" s="1" customFormat="1" ht="14.25" customHeight="1">
      <c r="A57" s="31"/>
      <c r="B57" s="45"/>
      <c r="C57" s="46" t="s">
        <v>28</v>
      </c>
      <c r="D57" s="47"/>
      <c r="E57" s="47"/>
      <c r="F57" s="48"/>
      <c r="G57" s="48"/>
      <c r="H57" s="445" t="s">
        <v>253</v>
      </c>
      <c r="I57" s="48"/>
      <c r="J57" s="48"/>
      <c r="K57" s="443"/>
      <c r="L57" s="456"/>
      <c r="M57" s="454"/>
      <c r="N57" s="35"/>
      <c r="P57" s="400"/>
      <c r="Q57" s="400"/>
      <c r="R57" s="400"/>
      <c r="S57" s="800"/>
      <c r="T57" s="400"/>
      <c r="U57" s="799"/>
      <c r="V57" s="799"/>
    </row>
    <row r="58" spans="1:22" s="1" customFormat="1" ht="14.25" customHeight="1">
      <c r="A58" s="31"/>
      <c r="B58" s="45"/>
      <c r="C58" s="46" t="s">
        <v>29</v>
      </c>
      <c r="D58" s="47"/>
      <c r="E58" s="47"/>
      <c r="F58" s="48"/>
      <c r="G58" s="48"/>
      <c r="H58" s="445" t="s">
        <v>253</v>
      </c>
      <c r="I58" s="48"/>
      <c r="J58" s="48"/>
      <c r="K58" s="443"/>
      <c r="L58" s="456"/>
      <c r="M58" s="454"/>
      <c r="N58" s="35"/>
      <c r="P58" s="400"/>
      <c r="Q58" s="400"/>
      <c r="R58" s="400"/>
      <c r="S58" s="400"/>
      <c r="T58" s="400"/>
      <c r="U58" s="799"/>
      <c r="V58" s="799"/>
    </row>
    <row r="59" spans="1:22" s="1" customFormat="1" ht="14.25" customHeight="1">
      <c r="A59" s="31"/>
      <c r="B59" s="45"/>
      <c r="C59" s="51" t="s">
        <v>30</v>
      </c>
      <c r="D59" s="52"/>
      <c r="E59" s="53"/>
      <c r="F59" s="53"/>
      <c r="G59" s="58"/>
      <c r="H59" s="57" t="s">
        <v>253</v>
      </c>
      <c r="I59" s="459"/>
      <c r="J59" s="459"/>
      <c r="K59" s="443"/>
      <c r="L59" s="456"/>
      <c r="M59" s="454"/>
      <c r="N59" s="35"/>
      <c r="P59" s="400"/>
      <c r="Q59" s="400"/>
      <c r="R59" s="400"/>
      <c r="S59" s="400"/>
      <c r="T59" s="400"/>
      <c r="U59" s="799"/>
      <c r="V59" s="799"/>
    </row>
    <row r="60" spans="1:22" s="1" customFormat="1" ht="7.5" customHeight="1">
      <c r="A60" s="31"/>
      <c r="B60" s="33"/>
      <c r="C60" s="54"/>
      <c r="D60" s="12"/>
      <c r="E60" s="12"/>
      <c r="F60" s="12"/>
      <c r="G60" s="33"/>
      <c r="H60" s="12"/>
      <c r="I60" s="12"/>
      <c r="J60" s="12"/>
      <c r="K60" s="458"/>
      <c r="L60" s="33"/>
      <c r="M60" s="35"/>
      <c r="N60" s="35"/>
      <c r="P60" s="400"/>
      <c r="Q60" s="400"/>
      <c r="R60" s="400"/>
      <c r="S60" s="400"/>
      <c r="T60" s="400"/>
      <c r="U60" s="799"/>
      <c r="V60" s="799"/>
    </row>
    <row r="61" spans="1:22" s="1" customFormat="1" ht="12.75" customHeight="1">
      <c r="A61" s="31"/>
      <c r="B61" s="33"/>
      <c r="C61" s="442"/>
      <c r="D61" s="52"/>
      <c r="E61" s="55"/>
      <c r="F61" s="55"/>
      <c r="G61" s="58"/>
      <c r="H61" s="56" t="s">
        <v>251</v>
      </c>
      <c r="I61" s="58"/>
      <c r="J61" s="57"/>
      <c r="K61" s="446"/>
      <c r="L61" s="746"/>
      <c r="M61" s="59"/>
      <c r="N61" s="35"/>
      <c r="O61" s="747"/>
      <c r="P61" s="400"/>
      <c r="Q61" s="400"/>
      <c r="R61" s="400"/>
      <c r="S61" s="400"/>
      <c r="T61" s="400"/>
      <c r="U61" s="799"/>
      <c r="V61" s="799"/>
    </row>
    <row r="62" spans="1:22" s="1" customFormat="1" ht="12.75" customHeight="1">
      <c r="A62" s="31"/>
      <c r="B62" s="33"/>
      <c r="C62" s="12"/>
      <c r="D62" s="12"/>
      <c r="E62" s="60"/>
      <c r="F62" s="60"/>
      <c r="G62" s="60"/>
      <c r="H62" s="60"/>
      <c r="I62" s="60"/>
      <c r="J62" s="60"/>
      <c r="K62" s="1231" t="str">
        <f>IF(AND(H48&gt;0,K61&lt;5),"Mappe 'Allgemeine Angaben' und Mappe 'Forderung' an den KSV senden!","")</f>
        <v/>
      </c>
      <c r="L62" s="60"/>
      <c r="M62" s="12"/>
      <c r="N62" s="61"/>
      <c r="P62" s="400"/>
      <c r="Q62" s="400"/>
      <c r="R62" s="400"/>
      <c r="S62" s="400"/>
      <c r="T62" s="400"/>
      <c r="U62" s="799"/>
      <c r="V62" s="799"/>
    </row>
    <row r="63" spans="1:22" s="1" customFormat="1" ht="12.75" customHeight="1">
      <c r="A63" s="31"/>
      <c r="B63" s="1120"/>
      <c r="C63" s="553"/>
      <c r="D63" s="553"/>
      <c r="E63" s="714"/>
      <c r="F63" s="714"/>
      <c r="G63" s="714"/>
      <c r="H63" s="714"/>
      <c r="I63" s="714"/>
      <c r="J63" s="714"/>
      <c r="K63" s="714"/>
      <c r="L63" s="714"/>
      <c r="M63" s="553"/>
      <c r="N63" s="61"/>
      <c r="P63" s="400"/>
      <c r="Q63" s="400"/>
      <c r="R63" s="400"/>
      <c r="S63" s="400"/>
      <c r="T63" s="400"/>
      <c r="U63" s="799"/>
      <c r="V63" s="799"/>
    </row>
    <row r="64" spans="1:22" s="1" customFormat="1" ht="3" customHeight="1">
      <c r="A64" s="31"/>
      <c r="B64" s="1121"/>
      <c r="C64" s="553"/>
      <c r="D64" s="553"/>
      <c r="E64" s="714"/>
      <c r="F64" s="714"/>
      <c r="G64" s="714"/>
      <c r="H64" s="714"/>
      <c r="I64" s="714"/>
      <c r="J64" s="714"/>
      <c r="K64" s="714"/>
      <c r="L64" s="714"/>
      <c r="M64" s="553"/>
      <c r="N64" s="61"/>
      <c r="P64" s="400"/>
      <c r="Q64" s="400"/>
      <c r="R64" s="400"/>
      <c r="S64" s="400"/>
      <c r="T64" s="400"/>
      <c r="U64" s="799"/>
      <c r="V64" s="799"/>
    </row>
    <row r="65" spans="1:22" s="1" customFormat="1" ht="3" customHeight="1">
      <c r="A65" s="31"/>
      <c r="B65" s="1121"/>
      <c r="C65" s="553"/>
      <c r="D65" s="553"/>
      <c r="E65" s="553"/>
      <c r="F65" s="553"/>
      <c r="G65" s="553"/>
      <c r="H65" s="553"/>
      <c r="I65" s="553"/>
      <c r="J65" s="553"/>
      <c r="K65" s="553"/>
      <c r="L65" s="1122"/>
      <c r="M65" s="1123"/>
      <c r="N65" s="61"/>
      <c r="P65" s="799"/>
      <c r="Q65" s="400"/>
      <c r="R65" s="400"/>
      <c r="S65" s="400"/>
      <c r="T65" s="400"/>
      <c r="U65" s="799"/>
      <c r="V65" s="799"/>
    </row>
    <row r="66" spans="1:22" s="1" customFormat="1" ht="3" customHeight="1">
      <c r="A66" s="31"/>
      <c r="B66" s="33"/>
      <c r="C66" s="12"/>
      <c r="D66" s="12"/>
      <c r="E66" s="12"/>
      <c r="F66" s="12"/>
      <c r="G66" s="12"/>
      <c r="H66" s="12"/>
      <c r="I66" s="12"/>
      <c r="J66" s="12"/>
      <c r="K66" s="12"/>
      <c r="L66" s="33"/>
      <c r="M66" s="254"/>
      <c r="N66" s="61"/>
      <c r="P66" s="400"/>
      <c r="Q66" s="400"/>
      <c r="R66" s="400"/>
      <c r="S66" s="400"/>
      <c r="T66" s="400"/>
      <c r="U66" s="799"/>
      <c r="V66" s="799"/>
    </row>
    <row r="67" spans="1:22" s="1" customFormat="1" ht="12.75">
      <c r="A67" s="31"/>
      <c r="N67" s="61"/>
      <c r="P67" s="400"/>
      <c r="Q67" s="400"/>
      <c r="R67" s="400"/>
      <c r="S67" s="400"/>
      <c r="T67" s="400"/>
      <c r="U67" s="799"/>
      <c r="V67" s="799"/>
    </row>
    <row r="68" spans="1:22" s="1" customFormat="1" ht="8.1" customHeight="1">
      <c r="A68" s="31"/>
      <c r="M68" s="254"/>
      <c r="N68" s="61"/>
      <c r="P68" s="807"/>
      <c r="Q68" s="400"/>
      <c r="R68" s="400"/>
      <c r="S68" s="400"/>
      <c r="T68" s="400"/>
      <c r="U68" s="799"/>
      <c r="V68" s="799"/>
    </row>
    <row r="69" spans="1:22" s="70" customFormat="1" ht="14.25" customHeight="1">
      <c r="A69" s="63"/>
      <c r="B69" s="361" t="s">
        <v>515</v>
      </c>
      <c r="C69" s="361"/>
      <c r="D69" s="361"/>
      <c r="E69" s="361"/>
      <c r="F69" s="361"/>
      <c r="G69" s="361"/>
      <c r="H69" s="361"/>
      <c r="I69" s="361"/>
      <c r="J69" s="361"/>
      <c r="K69" s="361"/>
      <c r="L69" s="361"/>
      <c r="M69" s="361"/>
      <c r="N69" s="68"/>
      <c r="O69" s="69"/>
      <c r="P69" s="807" t="s">
        <v>656</v>
      </c>
      <c r="Q69" s="801"/>
      <c r="R69" s="801"/>
      <c r="S69" s="801"/>
      <c r="T69" s="801"/>
      <c r="U69" s="801"/>
      <c r="V69" s="801"/>
    </row>
    <row r="70" spans="1:22" s="70" customFormat="1" ht="12.75" customHeight="1">
      <c r="A70" s="63"/>
      <c r="B70" s="33"/>
      <c r="C70" s="12"/>
      <c r="D70" s="12"/>
      <c r="E70" s="12"/>
      <c r="F70" s="12"/>
      <c r="G70" s="12"/>
      <c r="H70" s="12"/>
      <c r="I70" s="12"/>
      <c r="J70" s="12"/>
      <c r="K70" s="12"/>
      <c r="L70" s="33"/>
      <c r="M70" s="219"/>
      <c r="N70" s="68"/>
      <c r="O70" s="69"/>
      <c r="P70" s="801"/>
      <c r="Q70" s="801"/>
      <c r="R70" s="801"/>
      <c r="S70" s="801"/>
      <c r="T70" s="801"/>
      <c r="U70" s="801"/>
      <c r="V70" s="801"/>
    </row>
    <row r="71" spans="1:22" s="70" customFormat="1" ht="14.25" customHeight="1">
      <c r="A71" s="63"/>
      <c r="B71" s="1155" t="s">
        <v>657</v>
      </c>
      <c r="C71" s="1024"/>
      <c r="D71" s="974"/>
      <c r="E71" s="66"/>
      <c r="F71" s="66"/>
      <c r="G71" s="66"/>
      <c r="H71" s="66"/>
      <c r="I71" s="67"/>
      <c r="J71" s="67"/>
      <c r="K71" s="67"/>
      <c r="L71" s="982"/>
      <c r="M71" s="1024"/>
      <c r="N71" s="68"/>
      <c r="O71" s="69"/>
      <c r="P71" s="988" t="s">
        <v>554</v>
      </c>
      <c r="Q71" s="801"/>
      <c r="R71" s="801"/>
      <c r="S71" s="801"/>
      <c r="T71" s="801"/>
      <c r="U71" s="801"/>
      <c r="V71" s="801"/>
    </row>
    <row r="72" spans="1:22" s="70" customFormat="1" ht="3" customHeight="1">
      <c r="A72" s="63"/>
      <c r="B72" s="66"/>
      <c r="C72" s="974"/>
      <c r="D72" s="974"/>
      <c r="E72" s="66"/>
      <c r="F72" s="66"/>
      <c r="G72" s="66"/>
      <c r="H72" s="66"/>
      <c r="I72" s="67"/>
      <c r="J72" s="67"/>
      <c r="K72" s="67"/>
      <c r="L72" s="219"/>
      <c r="M72" s="219"/>
      <c r="N72" s="68"/>
      <c r="O72" s="69"/>
      <c r="P72" s="801"/>
      <c r="Q72" s="801"/>
      <c r="R72" s="801"/>
      <c r="S72" s="801"/>
      <c r="T72" s="801"/>
      <c r="U72" s="801"/>
      <c r="V72" s="801"/>
    </row>
    <row r="73" spans="1:22" s="70" customFormat="1" ht="14.25" customHeight="1">
      <c r="A73" s="63"/>
      <c r="B73" s="1024" t="s">
        <v>564</v>
      </c>
      <c r="C73" s="974"/>
      <c r="D73" s="974"/>
      <c r="E73" s="66"/>
      <c r="F73" s="66"/>
      <c r="G73" s="66"/>
      <c r="H73" s="66"/>
      <c r="I73" s="67"/>
      <c r="J73" s="67"/>
      <c r="K73" s="67"/>
      <c r="L73" s="982"/>
      <c r="M73" s="219"/>
      <c r="N73" s="68"/>
      <c r="O73" s="69"/>
      <c r="P73" s="801"/>
      <c r="Q73" s="801"/>
      <c r="R73" s="801"/>
      <c r="S73" s="801"/>
      <c r="T73" s="801"/>
      <c r="U73" s="801"/>
      <c r="V73" s="801"/>
    </row>
    <row r="74" spans="1:22" s="70" customFormat="1" ht="3" customHeight="1">
      <c r="A74" s="63"/>
      <c r="B74" s="66"/>
      <c r="C74" s="974"/>
      <c r="D74" s="974"/>
      <c r="E74" s="66"/>
      <c r="F74" s="66"/>
      <c r="G74" s="66"/>
      <c r="H74" s="66"/>
      <c r="I74" s="67"/>
      <c r="J74" s="67"/>
      <c r="K74" s="67"/>
      <c r="L74" s="219"/>
      <c r="M74" s="219"/>
      <c r="N74" s="68"/>
      <c r="O74" s="69"/>
      <c r="P74" s="801"/>
      <c r="Q74" s="801"/>
      <c r="R74" s="801"/>
      <c r="S74" s="801"/>
      <c r="T74" s="801"/>
      <c r="U74" s="801"/>
      <c r="V74" s="801"/>
    </row>
    <row r="75" spans="1:22" ht="12.75" customHeight="1">
      <c r="A75" s="3"/>
      <c r="B75" s="1031" t="s">
        <v>579</v>
      </c>
      <c r="C75" s="9"/>
      <c r="D75" s="9"/>
      <c r="E75" s="9"/>
      <c r="F75" s="9"/>
      <c r="G75" s="9"/>
      <c r="H75" s="9"/>
      <c r="I75" s="9"/>
      <c r="J75" s="9"/>
      <c r="K75" s="9"/>
      <c r="L75" s="982"/>
      <c r="M75" s="9"/>
      <c r="N75" s="5"/>
      <c r="O75" s="74"/>
      <c r="P75" s="1030" t="s">
        <v>578</v>
      </c>
    </row>
    <row r="76" spans="1:22" ht="12.75" customHeight="1">
      <c r="A76" s="71"/>
      <c r="B76" s="986"/>
      <c r="C76" s="72"/>
      <c r="D76" s="72"/>
      <c r="E76" s="72"/>
      <c r="F76" s="72"/>
      <c r="G76" s="72"/>
      <c r="H76" s="72"/>
      <c r="I76" s="72"/>
      <c r="J76" s="72"/>
      <c r="K76" s="72"/>
      <c r="L76" s="987"/>
      <c r="M76" s="72"/>
      <c r="N76" s="73"/>
      <c r="O76" s="74"/>
    </row>
    <row r="77" spans="1:22" ht="12.75" customHeight="1">
      <c r="A77" s="455"/>
      <c r="B77" s="455"/>
      <c r="C77" s="455"/>
      <c r="D77" s="455"/>
      <c r="E77" s="455"/>
      <c r="F77" s="455"/>
      <c r="G77" s="455"/>
      <c r="H77" s="455"/>
      <c r="I77" s="455"/>
      <c r="J77" s="455"/>
      <c r="K77" s="455"/>
      <c r="L77" s="455"/>
      <c r="M77" s="455"/>
      <c r="N77" s="455"/>
      <c r="O77" s="74"/>
    </row>
    <row r="78" spans="1:22" ht="15" thickBot="1"/>
    <row r="79" spans="1:22" ht="15" thickBot="1">
      <c r="D79" s="1349" t="s">
        <v>255</v>
      </c>
      <c r="E79" s="1350"/>
      <c r="F79" s="1350"/>
      <c r="G79" s="1350"/>
      <c r="H79" s="1350"/>
      <c r="I79" s="1350"/>
      <c r="J79" s="1351"/>
      <c r="K79" s="75"/>
      <c r="O79" s="74"/>
    </row>
  </sheetData>
  <sheetProtection algorithmName="SHA-512" hashValue="SQxZ0v5fZrQunzWywuTFuCicO0z9fSISIBKDV7tT2nzlispEaknm5Z8oj57M0Nd3BTbi2cI9WnQuBIT25snjXA==" saltValue="i5qClmgDXQysj34g6tEvZA==" spinCount="100000" sheet="1" objects="1" scenarios="1"/>
  <mergeCells count="27">
    <mergeCell ref="D13:M13"/>
    <mergeCell ref="D11:M11"/>
    <mergeCell ref="D35:M35"/>
    <mergeCell ref="H40:M40"/>
    <mergeCell ref="F48:G48"/>
    <mergeCell ref="D15:M15"/>
    <mergeCell ref="D17:H17"/>
    <mergeCell ref="J17:M17"/>
    <mergeCell ref="D19:H19"/>
    <mergeCell ref="J19:M19"/>
    <mergeCell ref="D21:H21"/>
    <mergeCell ref="J21:M21"/>
    <mergeCell ref="D25:M25"/>
    <mergeCell ref="D27:M27"/>
    <mergeCell ref="D29:M29"/>
    <mergeCell ref="D79:J79"/>
    <mergeCell ref="D33:H33"/>
    <mergeCell ref="J33:M33"/>
    <mergeCell ref="D31:H31"/>
    <mergeCell ref="J31:M31"/>
    <mergeCell ref="A1:N1"/>
    <mergeCell ref="A2:N2"/>
    <mergeCell ref="A3:N3"/>
    <mergeCell ref="D6:G6"/>
    <mergeCell ref="L6:M6"/>
    <mergeCell ref="A5:B5"/>
    <mergeCell ref="L4:M4"/>
  </mergeCells>
  <conditionalFormatting sqref="L40">
    <cfRule type="expression" dxfId="87" priority="1">
      <formula>Wennoder($L$45&lt;0,$L$45=0,"")</formula>
    </cfRule>
  </conditionalFormatting>
  <dataValidations count="4">
    <dataValidation type="date" errorStyle="warning" operator="greaterThan" allowBlank="1" showInputMessage="1" showErrorMessage="1" errorTitle="Laufzeitbeginn im Jahr 2017" error="Laufzeitbeginn ab 01.01.2017 möglich" sqref="H48">
      <formula1>42735</formula1>
    </dataValidation>
    <dataValidation allowBlank="1" showInputMessage="1" showErrorMessage="1" promptTitle="Quorum" prompt="Bitte Hinweise zur Berechnung des Anteils beachten!" sqref="K61"/>
    <dataValidation type="whole" errorStyle="information" allowBlank="1" showInputMessage="1" showErrorMessage="1" errorTitle="angebundene KZP" promptTitle="angebundene KZP" prompt="siehe allgemeine Hinweise" sqref="L45">
      <formula1>1</formula1>
      <formula2>30</formula2>
    </dataValidation>
    <dataValidation allowBlank="1" showInputMessage="1" showErrorMessage="1" promptTitle="&quot;teilstationär&quot;;&quot;Kurzzeitpflege&quot;" sqref="Q31"/>
  </dataValidations>
  <hyperlinks>
    <hyperlink ref="D79" location="'Anlage 1'!A1" display="Anlage 1"/>
    <hyperlink ref="D79:J79" location="Belegung!A1" display="gehe weiter zu B_Belegung"/>
  </hyperlinks>
  <pageMargins left="0.70866141732283472" right="0.70866141732283472" top="0.78740157480314965" bottom="0.78740157480314965" header="0.31496062992125984" footer="0.31496062992125984"/>
  <pageSetup paperSize="9" scale="78" orientation="portrait"/>
  <headerFooter>
    <oddHeader>&amp;C&amp;9Seite 1</oddHeader>
    <oddFooter>&amp;L&amp;8Version: 15.01.2020&amp;C&amp;8Verhandlungsunterlagen SGB XI&amp;R&amp;8PSK-Beschluss Nr. 3/2019 vom 19.09.2019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7</xdr:col>
                    <xdr:colOff>828675</xdr:colOff>
                    <xdr:row>40</xdr:row>
                    <xdr:rowOff>38100</xdr:rowOff>
                  </from>
                  <to>
                    <xdr:col>9</xdr:col>
                    <xdr:colOff>66675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12</xdr:col>
                    <xdr:colOff>247650</xdr:colOff>
                    <xdr:row>44</xdr:row>
                    <xdr:rowOff>123825</xdr:rowOff>
                  </from>
                  <to>
                    <xdr:col>12</xdr:col>
                    <xdr:colOff>466725</xdr:colOff>
                    <xdr:row>46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Einrichtungsart" error="bitte aus Liste auswählen" promptTitle="Auswahlmöglichkeit" prompt="vollstationäre Pflege_x000a_Wohnpflegeheim_x000a_Wachkoma_x000a_4. Generation_x000a_">
          <x14:formula1>
            <xm:f>KAT!$A$2:$A$7</xm:f>
          </x14:formula1>
          <xm:sqref>D6:G6</xm:sqref>
        </x14:dataValidation>
        <x14:dataValidation type="list" allowBlank="1" showInputMessage="1" showErrorMessage="1" errorTitle="Auswahlmöglichkeit" error="Bitte aus Liste wählen!">
          <x14:formula1>
            <xm:f>KAT!$F$2:$F$4</xm:f>
          </x14:formula1>
          <xm:sqref>C40</xm:sqref>
        </x14:dataValidation>
        <x14:dataValidation type="list" allowBlank="1" showInputMessage="1" showErrorMessage="1">
          <x14:formula1>
            <xm:f>KAT!$F$2:$F$3</xm:f>
          </x14:formula1>
          <xm:sqref>L73 L75:L76 L71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R68"/>
  <sheetViews>
    <sheetView showGridLines="0" workbookViewId="0">
      <pane ySplit="4" topLeftCell="A5" activePane="bottomLeft" state="frozen"/>
      <selection pane="bottomLeft" activeCell="U28" sqref="U28"/>
    </sheetView>
  </sheetViews>
  <sheetFormatPr baseColWidth="10" defaultRowHeight="14.25"/>
  <cols>
    <col min="1" max="1" width="5.625" style="4" customWidth="1"/>
    <col min="2" max="2" width="11.375" style="4" customWidth="1"/>
    <col min="3" max="3" width="15.625" style="4" customWidth="1"/>
    <col min="4" max="5" width="17.625" style="4" customWidth="1"/>
    <col min="6" max="6" width="14.625" style="4" customWidth="1"/>
    <col min="7" max="7" width="9.125" style="4" customWidth="1"/>
    <col min="8" max="8" width="5.625" style="4" customWidth="1"/>
    <col min="9" max="9" width="13.625" style="389" hidden="1" customWidth="1"/>
    <col min="10" max="18" width="11" style="389" hidden="1" customWidth="1"/>
    <col min="19" max="19" width="11" style="4" customWidth="1"/>
    <col min="20" max="16384" width="11" style="4"/>
  </cols>
  <sheetData>
    <row r="1" spans="1:18" ht="15">
      <c r="A1" s="1334" t="str">
        <f>'Allgemeine Angaben'!A1:N1</f>
        <v>Aufforderung zum Abschluss einer Pflegesatzvereinbarung gemäß §§ 84, 85 SGB XI</v>
      </c>
      <c r="B1" s="1335"/>
      <c r="C1" s="1335"/>
      <c r="D1" s="1335"/>
      <c r="E1" s="1335"/>
      <c r="F1" s="1335"/>
      <c r="G1" s="1335"/>
      <c r="H1" s="1336"/>
      <c r="I1" s="860">
        <v>43600</v>
      </c>
      <c r="J1" s="1215" t="s">
        <v>810</v>
      </c>
    </row>
    <row r="2" spans="1:18" ht="15">
      <c r="A2" s="1337" t="s">
        <v>31</v>
      </c>
      <c r="B2" s="1338"/>
      <c r="C2" s="1338"/>
      <c r="D2" s="1338"/>
      <c r="E2" s="1338"/>
      <c r="F2" s="1338"/>
      <c r="G2" s="1338"/>
      <c r="H2" s="1339"/>
      <c r="I2" s="989">
        <v>43605</v>
      </c>
      <c r="J2" s="802"/>
    </row>
    <row r="3" spans="1:18">
      <c r="A3" s="1363" t="str">
        <f>'Allgemeine Angaben'!A3:N3</f>
        <v/>
      </c>
      <c r="B3" s="1364"/>
      <c r="C3" s="1364"/>
      <c r="D3" s="1364"/>
      <c r="E3" s="1364"/>
      <c r="F3" s="1364"/>
      <c r="G3" s="1364"/>
      <c r="H3" s="1365"/>
      <c r="I3" s="1015">
        <v>43607</v>
      </c>
      <c r="J3" s="804"/>
    </row>
    <row r="4" spans="1:18">
      <c r="A4" s="1032"/>
      <c r="B4" s="1033" t="str">
        <f>'Allgemeine Angaben'!B4</f>
        <v/>
      </c>
      <c r="C4" s="1033"/>
      <c r="D4" s="1033"/>
      <c r="E4" s="1036" t="str">
        <f>'Allgemeine Angaben'!K4</f>
        <v>Antrag vom:</v>
      </c>
      <c r="F4" s="1047">
        <f>'Allgemeine Angaben'!L4</f>
        <v>0</v>
      </c>
      <c r="G4" s="1037"/>
      <c r="H4" s="1034"/>
      <c r="I4" s="1084">
        <v>43620</v>
      </c>
    </row>
    <row r="5" spans="1:18" s="79" customFormat="1" ht="12.75">
      <c r="A5" s="76"/>
      <c r="B5" s="77"/>
      <c r="C5" s="77"/>
      <c r="D5" s="77"/>
      <c r="E5" s="77"/>
      <c r="F5" s="77"/>
      <c r="G5" s="77"/>
      <c r="H5" s="78"/>
      <c r="I5" s="1039" t="s">
        <v>582</v>
      </c>
      <c r="J5" s="400"/>
      <c r="K5" s="400"/>
      <c r="L5" s="400"/>
      <c r="M5" s="400"/>
      <c r="N5" s="1030" t="s">
        <v>584</v>
      </c>
      <c r="O5" s="400"/>
      <c r="P5" s="400"/>
      <c r="Q5" s="400"/>
      <c r="R5" s="400"/>
    </row>
    <row r="6" spans="1:18" s="64" customFormat="1" ht="25.5" customHeight="1">
      <c r="A6" s="81"/>
      <c r="B6" s="62" t="s">
        <v>2</v>
      </c>
      <c r="C6" s="66"/>
      <c r="D6" s="82" t="str">
        <f>IF('Allgemeine Angaben'!D6:G6&gt;0,'Allgemeine Angaben'!D6:G6,"")</f>
        <v/>
      </c>
      <c r="E6" s="83"/>
      <c r="F6" s="84" t="s">
        <v>256</v>
      </c>
      <c r="G6" s="357"/>
      <c r="H6" s="85"/>
      <c r="I6" s="823" t="s">
        <v>481</v>
      </c>
      <c r="J6" s="806"/>
      <c r="K6" s="806"/>
      <c r="L6" s="806"/>
      <c r="M6" s="806"/>
      <c r="N6" s="806"/>
      <c r="O6" s="806"/>
      <c r="P6" s="806"/>
      <c r="Q6" s="806"/>
      <c r="R6" s="806"/>
    </row>
    <row r="7" spans="1:18" s="28" customFormat="1" ht="12.75">
      <c r="A7" s="86"/>
      <c r="B7" s="12"/>
      <c r="C7" s="12"/>
      <c r="D7" s="87"/>
      <c r="E7" s="12"/>
      <c r="F7" s="88"/>
      <c r="G7" s="324" t="str">
        <f>IF(G6=0,"",IF(G6&gt;0,IF(AND('Allgemeine Angaben'!D7="vst",G6&gt;95.9)=TRUE,"",IF(AND('Allgemeine Angaben'!D7="kzp",G6&gt;89.9)=TRUE,"",IF(AND('Allgemeine Angaben'!D7="tst",G6&gt;84.9)=TRUE,"","Auslastung nicht plausibel")))))</f>
        <v/>
      </c>
      <c r="H7" s="90"/>
      <c r="I7" s="807"/>
      <c r="J7" s="400"/>
      <c r="K7" s="400"/>
      <c r="L7" s="400"/>
      <c r="M7" s="400"/>
      <c r="N7" s="400"/>
      <c r="O7" s="400"/>
      <c r="P7" s="400"/>
      <c r="Q7" s="400"/>
      <c r="R7" s="400"/>
    </row>
    <row r="8" spans="1:18" s="28" customFormat="1" ht="15" customHeight="1">
      <c r="A8" s="86"/>
      <c r="B8" s="91" t="s">
        <v>32</v>
      </c>
      <c r="C8" s="88"/>
      <c r="D8" s="1216">
        <v>365</v>
      </c>
      <c r="E8" s="821"/>
      <c r="F8" s="12"/>
      <c r="G8" s="12"/>
      <c r="H8" s="61"/>
      <c r="I8" s="822" t="s">
        <v>470</v>
      </c>
      <c r="J8" s="400"/>
      <c r="K8" s="400"/>
      <c r="L8" s="400"/>
      <c r="M8" s="400"/>
      <c r="N8" s="400"/>
      <c r="O8" s="400"/>
      <c r="P8" s="400"/>
      <c r="Q8" s="400"/>
      <c r="R8" s="400"/>
    </row>
    <row r="9" spans="1:18" s="28" customFormat="1" ht="12.75">
      <c r="A9" s="86"/>
      <c r="B9" s="12"/>
      <c r="C9" s="87"/>
      <c r="D9" s="87"/>
      <c r="E9" s="12"/>
      <c r="F9" s="12"/>
      <c r="G9" s="12"/>
      <c r="H9" s="61"/>
      <c r="I9" s="822" t="s">
        <v>471</v>
      </c>
      <c r="J9" s="400"/>
      <c r="K9" s="400"/>
      <c r="L9" s="400"/>
      <c r="M9" s="400"/>
      <c r="N9" s="400"/>
      <c r="O9" s="400"/>
      <c r="P9" s="400"/>
      <c r="Q9" s="400"/>
      <c r="R9" s="400"/>
    </row>
    <row r="10" spans="1:18" s="28" customFormat="1" ht="15" customHeight="1">
      <c r="A10" s="92"/>
      <c r="B10" s="12"/>
      <c r="C10" s="87"/>
      <c r="D10" s="87"/>
      <c r="E10" s="12"/>
      <c r="F10" s="12"/>
      <c r="G10" s="12"/>
      <c r="H10" s="93"/>
      <c r="I10" s="807"/>
      <c r="J10" s="400"/>
      <c r="K10" s="400"/>
      <c r="L10" s="400"/>
      <c r="M10" s="400"/>
      <c r="N10" s="400"/>
      <c r="O10" s="400"/>
      <c r="P10" s="400"/>
      <c r="Q10" s="400"/>
      <c r="R10" s="400"/>
    </row>
    <row r="11" spans="1:18" s="28" customFormat="1" ht="12.75">
      <c r="A11" s="86"/>
      <c r="B11" s="12"/>
      <c r="C11" s="87"/>
      <c r="D11" s="87"/>
      <c r="E11" s="12"/>
      <c r="F11" s="12"/>
      <c r="G11" s="12"/>
      <c r="H11" s="61"/>
      <c r="I11" s="809"/>
      <c r="J11" s="400"/>
      <c r="K11" s="400"/>
      <c r="L11" s="400"/>
      <c r="M11" s="400"/>
      <c r="N11" s="400"/>
      <c r="O11" s="400"/>
      <c r="P11" s="400"/>
      <c r="Q11" s="400"/>
      <c r="R11" s="400"/>
    </row>
    <row r="12" spans="1:18" s="28" customFormat="1" ht="12.75">
      <c r="A12" s="86"/>
      <c r="B12" s="12"/>
      <c r="C12" s="12"/>
      <c r="D12" s="87"/>
      <c r="E12" s="12"/>
      <c r="F12" s="12"/>
      <c r="G12" s="12"/>
      <c r="H12" s="61"/>
      <c r="I12" s="822" t="s">
        <v>474</v>
      </c>
      <c r="J12" s="400"/>
      <c r="K12" s="400"/>
      <c r="L12" s="400"/>
      <c r="M12" s="400"/>
      <c r="N12" s="400"/>
      <c r="O12" s="400"/>
      <c r="P12" s="400"/>
      <c r="Q12" s="400"/>
      <c r="R12" s="400"/>
    </row>
    <row r="13" spans="1:18" s="28" customFormat="1" ht="15" customHeight="1">
      <c r="A13" s="86"/>
      <c r="B13" s="217" t="s">
        <v>31</v>
      </c>
      <c r="C13" s="209"/>
      <c r="D13" s="209"/>
      <c r="E13" s="209"/>
      <c r="F13" s="209"/>
      <c r="G13" s="217"/>
      <c r="H13" s="61"/>
      <c r="I13" s="810" t="s">
        <v>473</v>
      </c>
      <c r="J13" s="807"/>
      <c r="K13" s="807"/>
      <c r="L13" s="807"/>
      <c r="M13" s="807"/>
      <c r="N13" s="400"/>
      <c r="O13" s="400"/>
      <c r="P13" s="400"/>
      <c r="Q13" s="400"/>
      <c r="R13" s="400"/>
    </row>
    <row r="14" spans="1:18" s="28" customFormat="1" ht="9.9499999999999993" customHeight="1">
      <c r="A14" s="86"/>
      <c r="B14" s="6"/>
      <c r="C14" s="12"/>
      <c r="D14" s="12"/>
      <c r="E14" s="12"/>
      <c r="F14" s="12"/>
      <c r="G14" s="6"/>
      <c r="H14" s="61"/>
      <c r="I14" s="807"/>
      <c r="J14" s="807"/>
      <c r="K14" s="807"/>
      <c r="L14" s="807"/>
      <c r="M14" s="807"/>
      <c r="N14" s="400"/>
      <c r="O14" s="400"/>
      <c r="P14" s="400"/>
      <c r="Q14" s="400"/>
      <c r="R14" s="400"/>
    </row>
    <row r="15" spans="1:18" s="28" customFormat="1" ht="12.75">
      <c r="A15" s="86"/>
      <c r="B15" s="6"/>
      <c r="C15" s="369" t="s">
        <v>417</v>
      </c>
      <c r="D15" s="369" t="s">
        <v>250</v>
      </c>
      <c r="E15" s="369" t="s">
        <v>33</v>
      </c>
      <c r="F15" s="12"/>
      <c r="G15" s="6"/>
      <c r="H15" s="61"/>
      <c r="I15" s="400"/>
      <c r="J15" s="400"/>
      <c r="K15" s="400"/>
      <c r="L15" s="400"/>
      <c r="M15" s="400"/>
      <c r="N15" s="400"/>
      <c r="O15" s="400"/>
      <c r="P15" s="400"/>
      <c r="Q15" s="400"/>
      <c r="R15" s="400"/>
    </row>
    <row r="16" spans="1:18" s="28" customFormat="1" ht="15" customHeight="1">
      <c r="A16" s="86"/>
      <c r="B16" s="19" t="s">
        <v>217</v>
      </c>
      <c r="C16" s="447"/>
      <c r="D16" s="448"/>
      <c r="E16" s="449" t="str">
        <f>IF('Allgemeine Angaben'!H48&gt;0,'Allgemeine Angaben'!H48,"")</f>
        <v/>
      </c>
      <c r="F16" s="12"/>
      <c r="G16" s="12"/>
      <c r="H16" s="61"/>
      <c r="I16" s="400"/>
      <c r="J16" s="400"/>
      <c r="K16" s="400"/>
      <c r="L16" s="400"/>
      <c r="M16" s="400"/>
      <c r="N16" s="400"/>
      <c r="O16" s="400"/>
      <c r="P16" s="400"/>
      <c r="Q16" s="400"/>
      <c r="R16" s="400"/>
    </row>
    <row r="17" spans="1:18" s="28" customFormat="1" ht="15" customHeight="1">
      <c r="A17" s="86"/>
      <c r="B17" s="19" t="s">
        <v>218</v>
      </c>
      <c r="C17" s="447"/>
      <c r="D17" s="1232" t="str">
        <f>IF(DATEDIF(D16,'Allgemeine Angaben'!L4,"m")&gt;3,"Stichtag darf nicht mehr als 3 Monate vor Datum der Antragstellung liegen, bitte korrigieren","")</f>
        <v/>
      </c>
      <c r="E17" s="12"/>
      <c r="F17" s="12"/>
      <c r="G17" s="12"/>
      <c r="H17" s="61"/>
      <c r="I17" s="868" t="s">
        <v>516</v>
      </c>
      <c r="J17" s="811"/>
      <c r="K17" s="400"/>
      <c r="L17" s="400"/>
      <c r="M17" s="400"/>
      <c r="N17" s="400"/>
      <c r="O17" s="400"/>
      <c r="P17" s="400"/>
      <c r="Q17" s="400"/>
      <c r="R17" s="400"/>
    </row>
    <row r="18" spans="1:18" s="28" customFormat="1" ht="12.75" customHeight="1">
      <c r="A18" s="86"/>
      <c r="B18" s="19"/>
      <c r="C18" s="19"/>
      <c r="D18" s="12"/>
      <c r="E18" s="12"/>
      <c r="F18" s="12"/>
      <c r="G18" s="12"/>
      <c r="H18" s="61"/>
      <c r="I18" s="1039" t="s">
        <v>600</v>
      </c>
      <c r="J18" s="400"/>
      <c r="K18" s="400"/>
      <c r="L18" s="400"/>
      <c r="M18" s="400"/>
      <c r="N18" s="400"/>
      <c r="O18" s="400"/>
      <c r="P18" s="400"/>
      <c r="Q18" s="400"/>
      <c r="R18" s="400"/>
    </row>
    <row r="19" spans="1:18" s="64" customFormat="1" ht="15" customHeight="1" thickBot="1">
      <c r="A19" s="450"/>
      <c r="B19" s="66"/>
      <c r="C19" s="66"/>
      <c r="D19" s="66"/>
      <c r="E19" s="451" t="s">
        <v>222</v>
      </c>
      <c r="F19" s="66"/>
      <c r="G19" s="66"/>
      <c r="H19" s="85"/>
      <c r="I19" s="805"/>
      <c r="J19" s="806"/>
      <c r="K19" s="806"/>
      <c r="L19" s="806"/>
      <c r="M19" s="806"/>
      <c r="N19" s="806"/>
      <c r="O19" s="806"/>
      <c r="P19" s="806"/>
      <c r="Q19" s="806"/>
      <c r="R19" s="806"/>
    </row>
    <row r="20" spans="1:18" s="64" customFormat="1" ht="15" customHeight="1" thickBot="1">
      <c r="A20" s="450"/>
      <c r="B20" s="66"/>
      <c r="C20" s="66"/>
      <c r="D20" s="66"/>
      <c r="E20" s="452">
        <f>IF(ISERROR('Allgemeine Angaben'!L44*G6*D8/100),"",'Allgemeine Angaben'!L44*G6*D8/100)</f>
        <v>0</v>
      </c>
      <c r="F20" s="66"/>
      <c r="G20" s="66"/>
      <c r="H20" s="85"/>
      <c r="I20" s="820" t="s">
        <v>769</v>
      </c>
      <c r="J20" s="806"/>
      <c r="K20" s="806"/>
      <c r="L20" s="806"/>
      <c r="M20" s="806"/>
      <c r="N20" s="806"/>
      <c r="O20" s="806"/>
      <c r="P20" s="806"/>
      <c r="Q20" s="806"/>
      <c r="R20" s="806"/>
    </row>
    <row r="21" spans="1:18" s="64" customFormat="1" ht="15" customHeight="1">
      <c r="A21" s="450"/>
      <c r="B21" s="606"/>
      <c r="C21" s="12"/>
      <c r="D21" s="12"/>
      <c r="E21" s="12"/>
      <c r="F21" s="12"/>
      <c r="G21" s="12"/>
      <c r="H21" s="85"/>
      <c r="I21" s="805"/>
      <c r="J21" s="806"/>
      <c r="K21" s="806"/>
      <c r="L21" s="806"/>
      <c r="M21" s="806"/>
      <c r="N21" s="806"/>
      <c r="O21" s="806"/>
      <c r="P21" s="806"/>
      <c r="Q21" s="806"/>
      <c r="R21" s="806"/>
    </row>
    <row r="22" spans="1:18" s="64" customFormat="1" ht="15" customHeight="1">
      <c r="A22" s="450"/>
      <c r="B22" s="368" t="s">
        <v>34</v>
      </c>
      <c r="C22" s="368" t="s">
        <v>215</v>
      </c>
      <c r="D22" s="368" t="s">
        <v>35</v>
      </c>
      <c r="E22" s="368" t="s">
        <v>35</v>
      </c>
      <c r="F22" s="725" t="s">
        <v>35</v>
      </c>
      <c r="G22" s="6"/>
      <c r="H22" s="85"/>
      <c r="I22" s="812"/>
      <c r="J22" s="806"/>
      <c r="K22" s="806"/>
      <c r="L22" s="806"/>
      <c r="M22" s="806"/>
      <c r="N22" s="806"/>
      <c r="O22" s="806"/>
      <c r="P22" s="806"/>
      <c r="Q22" s="806"/>
      <c r="R22" s="806"/>
    </row>
    <row r="23" spans="1:18" s="64" customFormat="1" ht="30" customHeight="1">
      <c r="A23" s="450"/>
      <c r="B23" s="495"/>
      <c r="C23" s="496" t="s">
        <v>427</v>
      </c>
      <c r="D23" s="495" t="s">
        <v>216</v>
      </c>
      <c r="E23" s="495" t="s">
        <v>277</v>
      </c>
      <c r="F23" s="736" t="s">
        <v>419</v>
      </c>
      <c r="G23" s="367"/>
      <c r="H23" s="85"/>
      <c r="I23" s="813"/>
      <c r="J23" s="806"/>
      <c r="K23" s="806"/>
      <c r="L23" s="806"/>
      <c r="M23" s="806"/>
      <c r="N23" s="806"/>
      <c r="O23" s="806"/>
      <c r="P23" s="806"/>
      <c r="Q23" s="806"/>
      <c r="R23" s="806"/>
    </row>
    <row r="24" spans="1:18" s="64" customFormat="1" ht="15" customHeight="1">
      <c r="A24" s="450"/>
      <c r="B24" s="365"/>
      <c r="C24" s="366"/>
      <c r="D24" s="497" t="str">
        <f>IF(D16&gt;0,D16,"")</f>
        <v/>
      </c>
      <c r="E24" s="497" t="str">
        <f>IF(E16&gt;0,E16,"")</f>
        <v/>
      </c>
      <c r="F24" s="724" t="str">
        <f>IF('Allgemeine Angaben'!L45&gt;0,E16,"")</f>
        <v/>
      </c>
      <c r="G24" s="367"/>
      <c r="H24" s="85"/>
      <c r="I24" s="813"/>
      <c r="J24" s="806"/>
      <c r="K24" s="806"/>
      <c r="L24" s="806"/>
      <c r="M24" s="806"/>
      <c r="N24" s="806"/>
      <c r="O24" s="806"/>
      <c r="P24" s="806"/>
      <c r="Q24" s="806"/>
      <c r="R24" s="806"/>
    </row>
    <row r="25" spans="1:18" s="64" customFormat="1" ht="15" customHeight="1">
      <c r="A25" s="450"/>
      <c r="B25" s="95"/>
      <c r="C25" s="95"/>
      <c r="D25" s="95"/>
      <c r="E25" s="95"/>
      <c r="F25" s="221"/>
      <c r="G25" s="12"/>
      <c r="H25" s="85"/>
      <c r="I25" s="812"/>
      <c r="J25" s="806"/>
      <c r="K25" s="806"/>
      <c r="L25" s="806"/>
      <c r="M25" s="806"/>
      <c r="N25" s="806"/>
      <c r="O25" s="806"/>
      <c r="P25" s="806"/>
      <c r="Q25" s="806"/>
      <c r="R25" s="806"/>
    </row>
    <row r="26" spans="1:18" s="64" customFormat="1" ht="15" customHeight="1" thickBot="1">
      <c r="A26" s="450"/>
      <c r="B26" s="96">
        <v>1</v>
      </c>
      <c r="C26" s="362"/>
      <c r="D26" s="97"/>
      <c r="E26" s="97"/>
      <c r="F26" s="1539"/>
      <c r="G26" s="12"/>
      <c r="H26" s="85"/>
      <c r="I26" s="812"/>
      <c r="J26" s="812"/>
      <c r="K26" s="806"/>
      <c r="L26" s="806"/>
      <c r="M26" s="806"/>
      <c r="N26" s="806"/>
      <c r="O26" s="806"/>
      <c r="P26" s="806"/>
      <c r="Q26" s="806"/>
      <c r="R26" s="806"/>
    </row>
    <row r="27" spans="1:18" s="64" customFormat="1" ht="15" customHeight="1" thickBot="1">
      <c r="A27" s="450"/>
      <c r="B27" s="98">
        <v>2</v>
      </c>
      <c r="C27" s="363"/>
      <c r="D27" s="99"/>
      <c r="E27" s="99"/>
      <c r="F27" s="1540"/>
      <c r="G27" s="753"/>
      <c r="H27" s="85"/>
      <c r="I27" s="823" t="s">
        <v>472</v>
      </c>
      <c r="J27" s="812"/>
      <c r="K27" s="806"/>
      <c r="L27" s="806"/>
      <c r="M27" s="806"/>
      <c r="N27" s="806"/>
      <c r="O27" s="806"/>
      <c r="P27" s="806"/>
      <c r="Q27" s="806"/>
      <c r="R27" s="806"/>
    </row>
    <row r="28" spans="1:18" s="64" customFormat="1" ht="15" customHeight="1" thickBot="1">
      <c r="A28" s="450"/>
      <c r="B28" s="98">
        <v>3</v>
      </c>
      <c r="C28" s="363"/>
      <c r="D28" s="99"/>
      <c r="E28" s="99"/>
      <c r="F28" s="1540"/>
      <c r="G28" s="753"/>
      <c r="H28" s="85"/>
      <c r="I28" s="1312" t="s">
        <v>831</v>
      </c>
      <c r="J28" s="806"/>
      <c r="K28" s="806"/>
      <c r="L28" s="806"/>
      <c r="M28" s="806"/>
      <c r="N28" s="806"/>
      <c r="O28" s="806"/>
      <c r="P28" s="806"/>
      <c r="Q28" s="806"/>
      <c r="R28" s="806"/>
    </row>
    <row r="29" spans="1:18" s="64" customFormat="1" ht="15" customHeight="1" thickBot="1">
      <c r="A29" s="450"/>
      <c r="B29" s="98">
        <v>4</v>
      </c>
      <c r="C29" s="363"/>
      <c r="D29" s="99"/>
      <c r="E29" s="99"/>
      <c r="F29" s="1540"/>
      <c r="G29" s="753"/>
      <c r="H29" s="85"/>
      <c r="I29" s="815"/>
      <c r="J29" s="806"/>
      <c r="K29" s="806"/>
      <c r="L29" s="806"/>
      <c r="M29" s="806"/>
      <c r="N29" s="806"/>
      <c r="O29" s="806"/>
      <c r="P29" s="806"/>
      <c r="Q29" s="806"/>
      <c r="R29" s="806"/>
    </row>
    <row r="30" spans="1:18" s="64" customFormat="1" ht="15" customHeight="1">
      <c r="A30" s="450"/>
      <c r="B30" s="100">
        <v>5</v>
      </c>
      <c r="C30" s="364"/>
      <c r="D30" s="101"/>
      <c r="E30" s="101"/>
      <c r="F30" s="1541"/>
      <c r="G30" s="12"/>
      <c r="H30" s="85"/>
      <c r="I30" s="812"/>
      <c r="J30" s="806"/>
      <c r="K30" s="806"/>
      <c r="L30" s="806"/>
      <c r="M30" s="806"/>
      <c r="N30" s="806"/>
      <c r="O30" s="806"/>
      <c r="P30" s="806"/>
      <c r="Q30" s="806"/>
      <c r="R30" s="806"/>
    </row>
    <row r="31" spans="1:18" s="64" customFormat="1" ht="15" customHeight="1">
      <c r="A31" s="450"/>
      <c r="B31" s="103"/>
      <c r="C31" s="95"/>
      <c r="D31" s="95"/>
      <c r="E31" s="95"/>
      <c r="F31" s="221"/>
      <c r="G31" s="12"/>
      <c r="H31" s="85"/>
      <c r="I31" s="812"/>
      <c r="J31" s="806"/>
      <c r="K31" s="806"/>
      <c r="L31" s="806"/>
      <c r="M31" s="806"/>
      <c r="N31" s="806"/>
      <c r="O31" s="806"/>
      <c r="P31" s="806"/>
      <c r="Q31" s="806"/>
      <c r="R31" s="806"/>
    </row>
    <row r="32" spans="1:18" s="64" customFormat="1" ht="15" customHeight="1">
      <c r="A32" s="450"/>
      <c r="B32" s="104" t="s">
        <v>36</v>
      </c>
      <c r="C32" s="383">
        <f>SUM(C26:C30)</f>
        <v>0</v>
      </c>
      <c r="D32" s="105">
        <f>SUM(D26:D30)</f>
        <v>0</v>
      </c>
      <c r="E32" s="105">
        <f>SUM(E26:E30)</f>
        <v>0</v>
      </c>
      <c r="F32" s="726">
        <f>SUM(F26:F30)</f>
        <v>0</v>
      </c>
      <c r="G32" s="12"/>
      <c r="H32" s="85"/>
      <c r="I32" s="816"/>
      <c r="J32" s="806"/>
      <c r="K32" s="806"/>
      <c r="L32" s="806"/>
      <c r="M32" s="806"/>
      <c r="N32" s="806"/>
      <c r="O32" s="806"/>
      <c r="P32" s="806"/>
      <c r="Q32" s="806"/>
      <c r="R32" s="806"/>
    </row>
    <row r="33" spans="1:18" s="64" customFormat="1" ht="0.75" customHeight="1">
      <c r="A33" s="450"/>
      <c r="B33" s="106"/>
      <c r="C33" s="107"/>
      <c r="D33" s="107"/>
      <c r="E33" s="107"/>
      <c r="F33" s="66"/>
      <c r="G33" s="66"/>
      <c r="H33" s="85"/>
      <c r="I33" s="816"/>
      <c r="J33" s="806"/>
      <c r="K33" s="806"/>
      <c r="L33" s="806"/>
      <c r="M33" s="806"/>
      <c r="N33" s="806"/>
      <c r="O33" s="806"/>
      <c r="P33" s="806"/>
      <c r="Q33" s="806"/>
      <c r="R33" s="806"/>
    </row>
    <row r="34" spans="1:18" s="64" customFormat="1" ht="15" customHeight="1">
      <c r="A34" s="450"/>
      <c r="B34" s="66"/>
      <c r="C34" s="66"/>
      <c r="D34" s="66"/>
      <c r="E34" s="1233" t="str">
        <f>IF(E32&gt;0,IF(E32&lt;&gt;'Allgemeine Angaben'!L44,"Prognose entspricht nicht Platzzahl",""),"")</f>
        <v/>
      </c>
      <c r="F34" s="66"/>
      <c r="G34" s="66"/>
      <c r="H34" s="85"/>
      <c r="I34" s="816"/>
      <c r="J34" s="806"/>
      <c r="K34" s="806"/>
      <c r="L34" s="806"/>
      <c r="M34" s="806"/>
      <c r="N34" s="806"/>
      <c r="O34" s="806"/>
      <c r="P34" s="806"/>
      <c r="Q34" s="806"/>
      <c r="R34" s="806"/>
    </row>
    <row r="35" spans="1:18" s="64" customFormat="1" ht="15" customHeight="1">
      <c r="A35" s="450"/>
      <c r="B35" s="606" t="s">
        <v>428</v>
      </c>
      <c r="C35" s="19"/>
      <c r="D35" s="12"/>
      <c r="E35" s="12"/>
      <c r="F35" s="66"/>
      <c r="G35" s="66"/>
      <c r="H35" s="85"/>
      <c r="I35" s="812"/>
      <c r="J35" s="806"/>
      <c r="K35" s="806"/>
      <c r="L35" s="806"/>
      <c r="M35" s="806"/>
      <c r="N35" s="806"/>
      <c r="O35" s="806"/>
      <c r="P35" s="806"/>
      <c r="Q35" s="806"/>
      <c r="R35" s="806"/>
    </row>
    <row r="36" spans="1:18" s="64" customFormat="1" ht="15" customHeight="1">
      <c r="A36" s="450"/>
      <c r="B36" s="606"/>
      <c r="C36" s="19"/>
      <c r="D36" s="12"/>
      <c r="E36" s="12"/>
      <c r="F36" s="66"/>
      <c r="G36" s="66"/>
      <c r="H36" s="85"/>
      <c r="I36" s="805"/>
      <c r="J36" s="817"/>
      <c r="K36" s="806"/>
      <c r="L36" s="806"/>
      <c r="M36" s="806"/>
      <c r="N36" s="806"/>
      <c r="O36" s="806"/>
      <c r="P36" s="806"/>
      <c r="Q36" s="806"/>
      <c r="R36" s="806"/>
    </row>
    <row r="37" spans="1:18" s="64" customFormat="1" ht="15" customHeight="1">
      <c r="A37" s="450"/>
      <c r="B37" s="608" t="s">
        <v>370</v>
      </c>
      <c r="C37" s="1217" t="str">
        <f>KAT!D24</f>
        <v/>
      </c>
      <c r="D37" s="1217" t="str">
        <f>KAT!D25</f>
        <v/>
      </c>
      <c r="E37" s="1217" t="str">
        <f>KAT!D26</f>
        <v/>
      </c>
      <c r="F37" s="66"/>
      <c r="G37" s="66"/>
      <c r="H37" s="85"/>
      <c r="I37" s="869" t="s">
        <v>526</v>
      </c>
      <c r="J37" s="806"/>
      <c r="K37" s="806"/>
      <c r="L37" s="806"/>
      <c r="M37" s="806"/>
      <c r="N37" s="806"/>
      <c r="O37" s="806"/>
      <c r="P37" s="806"/>
      <c r="Q37" s="806"/>
      <c r="R37" s="806"/>
    </row>
    <row r="38" spans="1:18" s="64" customFormat="1" ht="15" customHeight="1">
      <c r="A38" s="450"/>
      <c r="B38" s="611" t="s">
        <v>34</v>
      </c>
      <c r="C38" s="607" t="s">
        <v>215</v>
      </c>
      <c r="D38" s="607" t="s">
        <v>215</v>
      </c>
      <c r="E38" s="607" t="s">
        <v>215</v>
      </c>
      <c r="F38" s="66"/>
      <c r="G38" s="66"/>
      <c r="H38" s="85"/>
      <c r="I38" s="814"/>
      <c r="J38" s="815"/>
      <c r="K38" s="806"/>
      <c r="L38" s="806"/>
      <c r="M38" s="806"/>
      <c r="N38" s="806"/>
      <c r="O38" s="806"/>
      <c r="P38" s="806"/>
      <c r="Q38" s="806"/>
      <c r="R38" s="806"/>
    </row>
    <row r="39" spans="1:18" s="64" customFormat="1" ht="15" customHeight="1" thickBot="1">
      <c r="A39" s="450"/>
      <c r="B39" s="96">
        <v>1</v>
      </c>
      <c r="C39" s="362"/>
      <c r="D39" s="362"/>
      <c r="E39" s="362"/>
      <c r="F39" s="66"/>
      <c r="G39" s="66"/>
      <c r="H39" s="85"/>
      <c r="I39" s="812"/>
      <c r="J39" s="806"/>
      <c r="K39" s="806"/>
      <c r="L39" s="806"/>
      <c r="M39" s="806"/>
      <c r="N39" s="806"/>
      <c r="O39" s="806"/>
      <c r="P39" s="806"/>
      <c r="Q39" s="806"/>
      <c r="R39" s="806"/>
    </row>
    <row r="40" spans="1:18" s="64" customFormat="1" ht="15" customHeight="1" thickBot="1">
      <c r="A40" s="450"/>
      <c r="B40" s="98">
        <v>2</v>
      </c>
      <c r="C40" s="363"/>
      <c r="D40" s="363"/>
      <c r="E40" s="363"/>
      <c r="F40" s="66"/>
      <c r="G40" s="66"/>
      <c r="H40" s="85"/>
      <c r="I40" s="816"/>
      <c r="J40" s="806"/>
      <c r="K40" s="806"/>
      <c r="L40" s="806"/>
      <c r="M40" s="806"/>
      <c r="N40" s="806"/>
      <c r="O40" s="806"/>
      <c r="P40" s="806"/>
      <c r="Q40" s="806"/>
      <c r="R40" s="806"/>
    </row>
    <row r="41" spans="1:18" s="64" customFormat="1" ht="15" customHeight="1" thickBot="1">
      <c r="A41" s="450"/>
      <c r="B41" s="98">
        <v>3</v>
      </c>
      <c r="C41" s="363"/>
      <c r="D41" s="363"/>
      <c r="E41" s="363"/>
      <c r="F41" s="66"/>
      <c r="G41" s="66"/>
      <c r="H41" s="85"/>
      <c r="I41" s="812"/>
      <c r="J41" s="806"/>
      <c r="K41" s="806"/>
      <c r="L41" s="806"/>
      <c r="M41" s="806"/>
      <c r="N41" s="806"/>
      <c r="O41" s="806"/>
      <c r="P41" s="806"/>
      <c r="Q41" s="806"/>
      <c r="R41" s="806"/>
    </row>
    <row r="42" spans="1:18" s="64" customFormat="1" ht="15" customHeight="1" thickBot="1">
      <c r="A42" s="450"/>
      <c r="B42" s="98">
        <v>4</v>
      </c>
      <c r="C42" s="363"/>
      <c r="D42" s="363"/>
      <c r="E42" s="363"/>
      <c r="F42" s="66"/>
      <c r="G42" s="66"/>
      <c r="H42" s="85"/>
      <c r="I42" s="812"/>
      <c r="J42" s="806"/>
      <c r="K42" s="806"/>
      <c r="L42" s="806"/>
      <c r="M42" s="806"/>
      <c r="N42" s="806"/>
      <c r="O42" s="806"/>
      <c r="P42" s="806"/>
      <c r="Q42" s="806"/>
      <c r="R42" s="806"/>
    </row>
    <row r="43" spans="1:18" s="64" customFormat="1" ht="15" customHeight="1">
      <c r="A43" s="450"/>
      <c r="B43" s="100">
        <v>5</v>
      </c>
      <c r="C43" s="364"/>
      <c r="D43" s="364"/>
      <c r="E43" s="364"/>
      <c r="F43" s="66"/>
      <c r="G43" s="66"/>
      <c r="H43" s="85"/>
      <c r="I43" s="812"/>
      <c r="J43" s="806"/>
      <c r="K43" s="806"/>
      <c r="L43" s="806"/>
      <c r="M43" s="806"/>
      <c r="N43" s="806"/>
      <c r="O43" s="806"/>
      <c r="P43" s="806"/>
      <c r="Q43" s="806"/>
      <c r="R43" s="806"/>
    </row>
    <row r="44" spans="1:18" s="64" customFormat="1" ht="15" customHeight="1" thickBot="1">
      <c r="A44" s="450"/>
      <c r="B44" s="609" t="s">
        <v>36</v>
      </c>
      <c r="C44" s="610">
        <f>SUM(C39:C43)</f>
        <v>0</v>
      </c>
      <c r="D44" s="610">
        <f t="shared" ref="D44:E44" si="0">SUM(D39:D43)</f>
        <v>0</v>
      </c>
      <c r="E44" s="610">
        <f t="shared" si="0"/>
        <v>0</v>
      </c>
      <c r="F44" s="66"/>
      <c r="G44" s="66"/>
      <c r="H44" s="85"/>
      <c r="I44" s="812"/>
      <c r="J44" s="806"/>
      <c r="K44" s="806"/>
      <c r="L44" s="806"/>
      <c r="M44" s="806"/>
      <c r="N44" s="806"/>
      <c r="O44" s="806"/>
      <c r="P44" s="806"/>
      <c r="Q44" s="806"/>
      <c r="R44" s="806"/>
    </row>
    <row r="45" spans="1:18" s="64" customFormat="1" ht="15" customHeight="1" thickTop="1">
      <c r="A45" s="450"/>
      <c r="B45" s="12"/>
      <c r="C45" s="12"/>
      <c r="D45" s="12"/>
      <c r="E45" s="12"/>
      <c r="F45" s="66"/>
      <c r="G45" s="66"/>
      <c r="H45" s="85"/>
      <c r="I45" s="812"/>
      <c r="J45" s="806"/>
      <c r="K45" s="806"/>
      <c r="L45" s="806"/>
      <c r="M45" s="806"/>
      <c r="N45" s="806"/>
      <c r="O45" s="806"/>
      <c r="P45" s="806"/>
      <c r="Q45" s="806"/>
      <c r="R45" s="806"/>
    </row>
    <row r="46" spans="1:18" s="64" customFormat="1" ht="15" customHeight="1">
      <c r="A46" s="450"/>
      <c r="B46" s="608" t="s">
        <v>370</v>
      </c>
      <c r="C46" s="1217" t="str">
        <f>KAT!D27</f>
        <v/>
      </c>
      <c r="D46" s="1217" t="str">
        <f>KAT!D28</f>
        <v/>
      </c>
      <c r="E46" s="1217" t="str">
        <f>KAT!D29</f>
        <v/>
      </c>
      <c r="F46" s="66"/>
      <c r="G46" s="66"/>
      <c r="H46" s="85"/>
      <c r="I46" s="812"/>
      <c r="J46" s="806"/>
      <c r="K46" s="806"/>
      <c r="L46" s="806"/>
      <c r="M46" s="806"/>
      <c r="N46" s="806"/>
      <c r="O46" s="806"/>
      <c r="P46" s="806"/>
      <c r="Q46" s="806"/>
      <c r="R46" s="806"/>
    </row>
    <row r="47" spans="1:18" s="64" customFormat="1" ht="15" customHeight="1">
      <c r="A47" s="450"/>
      <c r="B47" s="611" t="s">
        <v>34</v>
      </c>
      <c r="C47" s="607" t="s">
        <v>215</v>
      </c>
      <c r="D47" s="607" t="s">
        <v>215</v>
      </c>
      <c r="E47" s="607" t="s">
        <v>215</v>
      </c>
      <c r="F47" s="66"/>
      <c r="G47" s="66"/>
      <c r="H47" s="85"/>
      <c r="I47" s="812"/>
      <c r="J47" s="806"/>
      <c r="K47" s="806"/>
      <c r="L47" s="806"/>
      <c r="M47" s="806"/>
      <c r="N47" s="806"/>
      <c r="O47" s="806"/>
      <c r="P47" s="806"/>
      <c r="Q47" s="806"/>
      <c r="R47" s="806"/>
    </row>
    <row r="48" spans="1:18" s="64" customFormat="1" ht="15" customHeight="1" thickBot="1">
      <c r="A48" s="450"/>
      <c r="B48" s="96">
        <v>1</v>
      </c>
      <c r="C48" s="362"/>
      <c r="D48" s="362"/>
      <c r="E48" s="362"/>
      <c r="F48" s="66"/>
      <c r="G48" s="66"/>
      <c r="H48" s="85"/>
      <c r="I48" s="812"/>
      <c r="J48" s="806"/>
      <c r="K48" s="806"/>
      <c r="L48" s="806"/>
      <c r="M48" s="806"/>
      <c r="N48" s="806"/>
      <c r="O48" s="806"/>
      <c r="P48" s="806"/>
      <c r="Q48" s="806"/>
      <c r="R48" s="806"/>
    </row>
    <row r="49" spans="1:18" s="64" customFormat="1" ht="15" customHeight="1" thickBot="1">
      <c r="A49" s="450"/>
      <c r="B49" s="98">
        <v>2</v>
      </c>
      <c r="C49" s="363"/>
      <c r="D49" s="363"/>
      <c r="E49" s="363"/>
      <c r="F49" s="66"/>
      <c r="G49" s="66"/>
      <c r="H49" s="85"/>
      <c r="I49" s="812"/>
      <c r="J49" s="806"/>
      <c r="K49" s="806"/>
      <c r="L49" s="806"/>
      <c r="M49" s="806"/>
      <c r="N49" s="806"/>
      <c r="O49" s="806"/>
      <c r="P49" s="806"/>
      <c r="Q49" s="806"/>
      <c r="R49" s="806"/>
    </row>
    <row r="50" spans="1:18" s="64" customFormat="1" ht="15" customHeight="1" thickBot="1">
      <c r="A50" s="450"/>
      <c r="B50" s="98">
        <v>3</v>
      </c>
      <c r="C50" s="363"/>
      <c r="D50" s="363"/>
      <c r="E50" s="363"/>
      <c r="F50" s="66"/>
      <c r="G50" s="66"/>
      <c r="H50" s="85"/>
      <c r="I50" s="812"/>
      <c r="J50" s="806"/>
      <c r="K50" s="806"/>
      <c r="L50" s="806"/>
      <c r="M50" s="806"/>
      <c r="N50" s="806"/>
      <c r="O50" s="806"/>
      <c r="P50" s="806"/>
      <c r="Q50" s="806"/>
      <c r="R50" s="806"/>
    </row>
    <row r="51" spans="1:18" s="64" customFormat="1" ht="15" customHeight="1" thickBot="1">
      <c r="A51" s="450"/>
      <c r="B51" s="98">
        <v>4</v>
      </c>
      <c r="C51" s="363"/>
      <c r="D51" s="363"/>
      <c r="E51" s="363"/>
      <c r="F51" s="66"/>
      <c r="G51" s="66"/>
      <c r="H51" s="85"/>
      <c r="I51" s="812"/>
      <c r="J51" s="806"/>
      <c r="K51" s="806"/>
      <c r="L51" s="806"/>
      <c r="M51" s="806"/>
      <c r="N51" s="806"/>
      <c r="O51" s="806"/>
      <c r="P51" s="806"/>
      <c r="Q51" s="806"/>
      <c r="R51" s="806"/>
    </row>
    <row r="52" spans="1:18" s="64" customFormat="1" ht="15" customHeight="1">
      <c r="A52" s="450"/>
      <c r="B52" s="100">
        <v>5</v>
      </c>
      <c r="C52" s="364"/>
      <c r="D52" s="364"/>
      <c r="E52" s="364"/>
      <c r="F52" s="66"/>
      <c r="G52" s="66"/>
      <c r="H52" s="85"/>
      <c r="I52" s="812"/>
      <c r="J52" s="806"/>
      <c r="K52" s="806"/>
      <c r="L52" s="806"/>
      <c r="M52" s="806"/>
      <c r="N52" s="806"/>
      <c r="O52" s="806"/>
      <c r="P52" s="806"/>
      <c r="Q52" s="806"/>
      <c r="R52" s="806"/>
    </row>
    <row r="53" spans="1:18" s="64" customFormat="1" ht="15" customHeight="1" thickBot="1">
      <c r="A53" s="450"/>
      <c r="B53" s="609" t="s">
        <v>36</v>
      </c>
      <c r="C53" s="610">
        <f>SUM(C48:C52)</f>
        <v>0</v>
      </c>
      <c r="D53" s="610">
        <f t="shared" ref="D53" si="1">SUM(D48:D52)</f>
        <v>0</v>
      </c>
      <c r="E53" s="610">
        <f t="shared" ref="E53" si="2">SUM(E48:E52)</f>
        <v>0</v>
      </c>
      <c r="F53" s="66"/>
      <c r="G53" s="66"/>
      <c r="H53" s="85"/>
      <c r="I53" s="812"/>
      <c r="J53" s="806"/>
      <c r="K53" s="806"/>
      <c r="L53" s="806"/>
      <c r="M53" s="806"/>
      <c r="N53" s="806"/>
      <c r="O53" s="806"/>
      <c r="P53" s="806"/>
      <c r="Q53" s="806"/>
      <c r="R53" s="806"/>
    </row>
    <row r="54" spans="1:18" s="64" customFormat="1" ht="15" customHeight="1" thickTop="1">
      <c r="A54" s="450"/>
      <c r="B54" s="66"/>
      <c r="C54" s="66"/>
      <c r="D54" s="66"/>
      <c r="E54" s="708"/>
      <c r="F54" s="66"/>
      <c r="G54" s="66"/>
      <c r="H54" s="85"/>
      <c r="I54" s="812"/>
      <c r="J54" s="806"/>
      <c r="K54" s="806"/>
      <c r="L54" s="806"/>
      <c r="M54" s="806"/>
      <c r="N54" s="806"/>
      <c r="O54" s="806"/>
      <c r="P54" s="806"/>
      <c r="Q54" s="806"/>
      <c r="R54" s="806"/>
    </row>
    <row r="55" spans="1:18" s="7" customFormat="1" ht="12.75">
      <c r="A55" s="86"/>
      <c r="B55" s="217" t="s">
        <v>275</v>
      </c>
      <c r="C55" s="217"/>
      <c r="D55" s="217"/>
      <c r="E55" s="217"/>
      <c r="F55" s="217"/>
      <c r="G55" s="217"/>
      <c r="H55" s="111"/>
      <c r="I55" s="808"/>
      <c r="J55" s="818"/>
      <c r="K55" s="818"/>
      <c r="L55" s="818"/>
      <c r="M55" s="818"/>
      <c r="N55" s="818"/>
      <c r="O55" s="818"/>
      <c r="P55" s="818"/>
      <c r="Q55" s="818"/>
      <c r="R55" s="818"/>
    </row>
    <row r="56" spans="1:18" ht="15" customHeight="1">
      <c r="A56" s="110"/>
      <c r="B56" s="9"/>
      <c r="C56" s="9"/>
      <c r="D56" s="9"/>
      <c r="E56" s="9"/>
      <c r="F56" s="9"/>
      <c r="G56" s="6"/>
      <c r="H56" s="5"/>
    </row>
    <row r="57" spans="1:18" s="28" customFormat="1" ht="15" customHeight="1">
      <c r="A57" s="86"/>
      <c r="B57" s="614"/>
      <c r="C57" s="615"/>
      <c r="D57" s="616"/>
      <c r="E57" s="1370" t="s">
        <v>371</v>
      </c>
      <c r="F57" s="1371"/>
      <c r="G57" s="6"/>
      <c r="H57" s="61"/>
      <c r="I57" s="819"/>
      <c r="J57" s="400"/>
      <c r="K57" s="400"/>
      <c r="L57" s="400"/>
      <c r="M57" s="400"/>
      <c r="N57" s="400"/>
      <c r="O57" s="400"/>
      <c r="P57" s="400"/>
      <c r="Q57" s="400"/>
      <c r="R57" s="400"/>
    </row>
    <row r="58" spans="1:18" s="28" customFormat="1" ht="15" customHeight="1">
      <c r="A58" s="86"/>
      <c r="B58" s="617"/>
      <c r="C58" s="618"/>
      <c r="D58" s="619"/>
      <c r="E58" s="613" t="s">
        <v>44</v>
      </c>
      <c r="F58" s="612" t="s">
        <v>38</v>
      </c>
      <c r="G58" s="6"/>
      <c r="H58" s="61"/>
      <c r="I58" s="808"/>
      <c r="J58" s="400"/>
      <c r="K58" s="400"/>
      <c r="L58" s="400"/>
      <c r="M58" s="400"/>
      <c r="N58" s="400"/>
      <c r="O58" s="400"/>
      <c r="P58" s="400"/>
      <c r="Q58" s="400"/>
      <c r="R58" s="400"/>
    </row>
    <row r="59" spans="1:18" s="28" customFormat="1" ht="3" customHeight="1">
      <c r="A59" s="86"/>
      <c r="B59" s="54"/>
      <c r="C59" s="12"/>
      <c r="D59" s="113"/>
      <c r="E59" s="12"/>
      <c r="F59" s="61"/>
      <c r="G59" s="6"/>
      <c r="H59" s="61"/>
      <c r="I59" s="400"/>
      <c r="J59" s="400"/>
      <c r="K59" s="400"/>
      <c r="L59" s="400"/>
      <c r="M59" s="400"/>
      <c r="N59" s="400"/>
      <c r="O59" s="400"/>
      <c r="P59" s="400"/>
      <c r="Q59" s="400"/>
      <c r="R59" s="400"/>
    </row>
    <row r="60" spans="1:18" s="28" customFormat="1" ht="13.5" thickBot="1">
      <c r="A60" s="86"/>
      <c r="B60" s="114" t="s">
        <v>219</v>
      </c>
      <c r="C60" s="115"/>
      <c r="D60" s="116"/>
      <c r="E60" s="117"/>
      <c r="F60" s="374"/>
      <c r="G60" s="6"/>
      <c r="H60" s="61"/>
      <c r="I60" s="820"/>
      <c r="J60" s="400"/>
      <c r="K60" s="400"/>
      <c r="L60" s="400"/>
      <c r="M60" s="400"/>
      <c r="N60" s="400"/>
      <c r="O60" s="400"/>
      <c r="P60" s="400"/>
      <c r="Q60" s="400"/>
      <c r="R60" s="400"/>
    </row>
    <row r="61" spans="1:18" s="28" customFormat="1" ht="13.5" thickBot="1">
      <c r="A61" s="86"/>
      <c r="B61" s="118" t="s">
        <v>257</v>
      </c>
      <c r="C61" s="119"/>
      <c r="D61" s="120"/>
      <c r="E61" s="121"/>
      <c r="F61" s="374"/>
      <c r="G61" s="6"/>
      <c r="H61" s="61"/>
      <c r="I61" s="808"/>
      <c r="J61" s="400"/>
      <c r="K61" s="400"/>
      <c r="L61" s="400"/>
      <c r="M61" s="400"/>
      <c r="N61" s="400"/>
      <c r="O61" s="400"/>
      <c r="P61" s="400"/>
      <c r="Q61" s="400"/>
      <c r="R61" s="400"/>
    </row>
    <row r="62" spans="1:18" s="28" customFormat="1" ht="13.5" thickBot="1">
      <c r="A62" s="86"/>
      <c r="B62" s="602" t="s">
        <v>220</v>
      </c>
      <c r="C62" s="372"/>
      <c r="D62" s="373"/>
      <c r="E62" s="121"/>
      <c r="F62" s="374"/>
      <c r="G62" s="6"/>
      <c r="H62" s="61"/>
      <c r="I62" s="400"/>
      <c r="J62" s="400"/>
      <c r="K62" s="400"/>
      <c r="L62" s="400"/>
      <c r="M62" s="400"/>
      <c r="N62" s="400"/>
      <c r="O62" s="400"/>
      <c r="P62" s="400"/>
      <c r="Q62" s="400"/>
      <c r="R62" s="400"/>
    </row>
    <row r="63" spans="1:18" s="28" customFormat="1" ht="15" thickBot="1">
      <c r="A63" s="86"/>
      <c r="B63" s="1366" t="s">
        <v>221</v>
      </c>
      <c r="C63" s="1367"/>
      <c r="D63" s="487"/>
      <c r="E63" s="121"/>
      <c r="F63" s="374"/>
      <c r="G63" s="6"/>
      <c r="H63" s="61"/>
      <c r="I63" s="400"/>
      <c r="J63" s="400"/>
      <c r="K63" s="400"/>
      <c r="L63" s="400"/>
      <c r="M63" s="400"/>
      <c r="N63" s="400"/>
      <c r="O63" s="400"/>
      <c r="P63" s="400"/>
      <c r="Q63" s="400"/>
      <c r="R63" s="400"/>
    </row>
    <row r="64" spans="1:18" s="28" customFormat="1" ht="15" thickBot="1">
      <c r="A64" s="86"/>
      <c r="B64" s="1368" t="s">
        <v>221</v>
      </c>
      <c r="C64" s="1369"/>
      <c r="D64" s="488"/>
      <c r="E64" s="121"/>
      <c r="F64" s="374"/>
      <c r="G64" s="6"/>
      <c r="H64" s="61"/>
      <c r="I64" s="400"/>
      <c r="J64" s="400"/>
      <c r="K64" s="400"/>
      <c r="L64" s="400"/>
      <c r="M64" s="400"/>
      <c r="N64" s="400"/>
      <c r="O64" s="400"/>
      <c r="P64" s="400"/>
      <c r="Q64" s="400"/>
      <c r="R64" s="400"/>
    </row>
    <row r="65" spans="1:18" s="28" customFormat="1" ht="3" customHeight="1">
      <c r="A65" s="86"/>
      <c r="B65" s="122"/>
      <c r="C65" s="123"/>
      <c r="D65" s="124"/>
      <c r="E65" s="375"/>
      <c r="F65" s="125"/>
      <c r="G65" s="6"/>
      <c r="H65" s="61"/>
      <c r="I65" s="400"/>
      <c r="J65" s="400"/>
      <c r="K65" s="400"/>
      <c r="L65" s="400"/>
      <c r="M65" s="400"/>
      <c r="N65" s="400"/>
      <c r="O65" s="400"/>
      <c r="P65" s="400"/>
      <c r="Q65" s="400"/>
      <c r="R65" s="400"/>
    </row>
    <row r="66" spans="1:18">
      <c r="A66" s="71"/>
      <c r="B66" s="72"/>
      <c r="C66" s="72"/>
      <c r="D66" s="72"/>
      <c r="E66" s="72"/>
      <c r="F66" s="72"/>
      <c r="G66" s="126"/>
      <c r="H66" s="73"/>
    </row>
    <row r="67" spans="1:18" ht="15" thickBot="1"/>
    <row r="68" spans="1:18" ht="15" customHeight="1" thickBot="1">
      <c r="B68" s="1349" t="s">
        <v>426</v>
      </c>
      <c r="C68" s="1350"/>
      <c r="D68" s="1350"/>
      <c r="E68" s="1350"/>
      <c r="F68" s="1350"/>
      <c r="G68" s="1351"/>
      <c r="I68" s="1015">
        <v>43607</v>
      </c>
      <c r="J68" s="1015" t="s">
        <v>552</v>
      </c>
    </row>
  </sheetData>
  <sheetProtection algorithmName="SHA-512" hashValue="yY6HmrcV0v2BC1jHM8AiYd3QlwwXtbqpEfzwzX30tylleDBNGrpUQo/62RxjOvnG1tu//6gLLO2fOmx8g+hjBA==" saltValue="Y+OGsHK4jOjw/lJCrvW7Ng==" spinCount="100000" sheet="1" objects="1" scenarios="1"/>
  <mergeCells count="7">
    <mergeCell ref="A1:H1"/>
    <mergeCell ref="A2:H2"/>
    <mergeCell ref="A3:H3"/>
    <mergeCell ref="B68:G68"/>
    <mergeCell ref="B63:C63"/>
    <mergeCell ref="B64:C64"/>
    <mergeCell ref="E57:F57"/>
  </mergeCells>
  <conditionalFormatting sqref="E20 E34 E54">
    <cfRule type="expression" dxfId="86" priority="16">
      <formula>$E$20=0</formula>
    </cfRule>
  </conditionalFormatting>
  <conditionalFormatting sqref="C32">
    <cfRule type="expression" dxfId="85" priority="15">
      <formula>$C$32=0</formula>
    </cfRule>
  </conditionalFormatting>
  <conditionalFormatting sqref="D32">
    <cfRule type="expression" dxfId="84" priority="14">
      <formula>$D$32=0</formula>
    </cfRule>
  </conditionalFormatting>
  <conditionalFormatting sqref="E32">
    <cfRule type="expression" dxfId="83" priority="13">
      <formula>$E$32=0</formula>
    </cfRule>
  </conditionalFormatting>
  <dataValidations count="3">
    <dataValidation type="whole" allowBlank="1" showInputMessage="1" showErrorMessage="1" errorTitle="Eintragungsmöglichkeit" error="ganze Zahlen_x000a_ab 85 bis 100_x000a_je nach Einrichtungsart" promptTitle="je nach Einrichtungsart" prompt="vollstationär: 96% bis 100%_x000a__x000a_" sqref="G6">
      <formula1>85</formula1>
      <formula2>100</formula2>
    </dataValidation>
    <dataValidation type="date" errorStyle="warning" operator="lessThan" allowBlank="1" showInputMessage="1" showErrorMessage="1" errorTitle="Stichtagsdatum prüfen" error="Der Stichtag muss vor dem Prognosezeitraum und soll nicht länger als drei Monate vor der Antragstellung liegen. " promptTitle="Stichtag" prompt="Stichtag maximal drei Monate vor der Antragstellung" sqref="D16">
      <formula1>E16</formula1>
    </dataValidation>
    <dataValidation type="date" errorStyle="warning" allowBlank="1" showInputMessage="1" showErrorMessage="1" errorTitle="Datum prüfen" error="Das Vorjahresende muss vor der Prognose liegen!_x000a_" sqref="C17">
      <formula1>C16</formula1>
      <formula2>E16</formula2>
    </dataValidation>
  </dataValidations>
  <hyperlinks>
    <hyperlink ref="B68" location="'Anlage 1'!A1" display="Anlage 1"/>
    <hyperlink ref="B68:G68" location="Personalkostenaufstellung!Druckbereich" display="gehe weiter zu Personalkostenaufstellung"/>
  </hyperlinks>
  <pageMargins left="0.70866141732283472" right="0.70866141732283472" top="0.78740157480314965" bottom="0.78740157480314965" header="0.31496062992125984" footer="0.31496062992125984"/>
  <pageSetup paperSize="9" scale="79" orientation="portrait"/>
  <headerFooter>
    <oddHeader>&amp;C&amp;9Seite 2</oddHeader>
    <oddFooter>&amp;L&amp;8Version: 15.01.2020&amp;C&amp;8Verhandlungsunterlagen SGB XI&amp;R&amp;8PSK-Beschluss Nr. 3/2019 vom 19.09.2019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62E1051-1D32-4C1E-BA0B-B98136039284}">
            <xm:f>'Allgemeine Angaben'!$L$45&gt;0</xm:f>
            <x14:dxf>
              <font>
                <color auto="1"/>
              </font>
              <fill>
                <patternFill>
                  <bgColor theme="0" tint="-4.9989318521683403E-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F32</xm:sqref>
        </x14:conditionalFormatting>
        <x14:conditionalFormatting xmlns:xm="http://schemas.microsoft.com/office/excel/2006/main">
          <x14:cfRule type="expression" priority="7" id="{0854E371-0A69-4886-81C0-79E133AC4DC0}">
            <xm:f>'Allgemeine Angaben'!$L$45&gt;0</xm:f>
            <x14:dxf>
              <fill>
                <patternFill>
                  <bgColor theme="6" tint="0.5999633777886288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F22:F23</xm:sqref>
        </x14:conditionalFormatting>
        <x14:conditionalFormatting xmlns:xm="http://schemas.microsoft.com/office/excel/2006/main">
          <x14:cfRule type="expression" priority="6" id="{297FB93B-642A-4735-B66B-8BC8DE764E25}">
            <xm:f>'Allgemeine Angaben'!$L$45&gt;0</xm:f>
            <x14:dxf>
              <font>
                <color auto="1"/>
              </font>
              <fill>
                <patternFill>
                  <bgColor theme="6" tint="0.59996337778862885"/>
                </patternFill>
              </fill>
            </x14:dxf>
          </x14:cfRule>
          <xm:sqref>F22:F24</xm:sqref>
        </x14:conditionalFormatting>
        <x14:conditionalFormatting xmlns:xm="http://schemas.microsoft.com/office/excel/2006/main">
          <x14:cfRule type="expression" priority="5" id="{20CB4D02-C744-433A-BE38-834660FA7DEC}">
            <xm:f>'Allgemeine Angaben'!$L$45&gt;0</xm:f>
            <x14:dxf>
              <fill>
                <patternFill>
                  <bgColor theme="6" tint="0.59996337778862885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F23:F24</xm:sqref>
        </x14:conditionalFormatting>
        <x14:conditionalFormatting xmlns:xm="http://schemas.microsoft.com/office/excel/2006/main">
          <x14:cfRule type="expression" priority="4" id="{27EFD5CD-A057-44A1-A001-A11E5B2021AF}">
            <xm:f>'Allgemeine Angaben'!$L$45&gt;0</xm:f>
            <x14:dxf>
              <font>
                <color auto="1"/>
              </font>
              <fill>
                <patternFill>
                  <bgColor rgb="FFFBFD95"/>
                </patternFill>
              </fill>
            </x14:dxf>
          </x14:cfRule>
          <xm:sqref>F26:F30</xm:sqref>
        </x14:conditionalFormatting>
        <x14:conditionalFormatting xmlns:xm="http://schemas.microsoft.com/office/excel/2006/main">
          <x14:cfRule type="expression" priority="2" id="{6C065E83-700B-4CAC-B2D5-D6394F146066}">
            <xm:f>'Allgemeine Angaben'!$L$45&gt;0</xm:f>
            <x14:dxf>
              <font>
                <color auto="1"/>
              </font>
              <border>
                <right style="thin">
                  <color auto="1"/>
                </right>
                <vertical/>
                <horizontal/>
              </border>
            </x14:dxf>
          </x14:cfRule>
          <xm:sqref>F22:F32</xm:sqref>
        </x14:conditionalFormatting>
        <x14:conditionalFormatting xmlns:xm="http://schemas.microsoft.com/office/excel/2006/main">
          <x14:cfRule type="expression" priority="1" id="{564692B9-82C8-4425-8224-C8D4E7B96A11}">
            <xm:f>'Allgemeine Angaben'!$D$6:$G$6=""</xm:f>
            <x14:dxf>
              <font>
                <color theme="0"/>
              </font>
            </x14:dxf>
          </x14:cfRule>
          <xm:sqref>G27:G29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3"/>
  <sheetViews>
    <sheetView showGridLines="0" topLeftCell="B1" zoomScale="85" zoomScaleNormal="85" workbookViewId="0">
      <pane ySplit="19" topLeftCell="A20" activePane="bottomLeft" state="frozen"/>
      <selection pane="bottomLeft" activeCell="C20" sqref="C20"/>
    </sheetView>
  </sheetViews>
  <sheetFormatPr baseColWidth="10" defaultRowHeight="12.75"/>
  <cols>
    <col min="1" max="1" width="27.875" style="1" customWidth="1"/>
    <col min="2" max="4" width="12.625" style="1" customWidth="1"/>
    <col min="5" max="6" width="16.625" style="1" customWidth="1"/>
    <col min="7" max="13" width="14.625" style="1" customWidth="1"/>
    <col min="14" max="15" width="20.625" style="1" customWidth="1"/>
    <col min="16" max="19" width="11" style="1043" hidden="1" customWidth="1"/>
    <col min="20" max="30" width="11" style="799" hidden="1" customWidth="1"/>
    <col min="31" max="16384" width="11" style="1"/>
  </cols>
  <sheetData>
    <row r="1" spans="1:24" ht="15.75">
      <c r="A1" s="1097" t="s">
        <v>621</v>
      </c>
      <c r="B1" s="1098"/>
      <c r="C1" s="1098"/>
      <c r="D1" s="1098"/>
      <c r="E1" s="1098"/>
      <c r="F1" s="1098"/>
      <c r="G1" s="1098"/>
      <c r="H1" s="1098"/>
      <c r="I1" s="1098"/>
      <c r="J1" s="1098"/>
      <c r="K1" s="1098"/>
      <c r="L1" s="1098"/>
      <c r="M1" s="1098"/>
      <c r="N1" s="1098"/>
      <c r="O1" s="1099"/>
      <c r="T1" s="828" t="s">
        <v>475</v>
      </c>
      <c r="U1" s="803"/>
      <c r="V1" s="837" t="s">
        <v>620</v>
      </c>
      <c r="X1" s="1312" t="s">
        <v>824</v>
      </c>
    </row>
    <row r="2" spans="1:24" ht="18" customHeight="1" thickBot="1">
      <c r="A2" s="761"/>
      <c r="B2" s="1100"/>
      <c r="C2" s="1100"/>
      <c r="D2" s="1100"/>
      <c r="E2" s="1100"/>
      <c r="F2" s="1100"/>
      <c r="G2" s="1100"/>
      <c r="H2" s="1100"/>
      <c r="I2" s="1100"/>
      <c r="J2" s="1100"/>
      <c r="K2" s="1100"/>
      <c r="L2" s="1100"/>
      <c r="M2" s="1100"/>
      <c r="N2" s="1100"/>
      <c r="O2" s="1101"/>
      <c r="T2" s="995">
        <v>43606</v>
      </c>
      <c r="U2" s="843"/>
      <c r="V2" s="1186">
        <v>43691</v>
      </c>
      <c r="W2" s="1191">
        <v>43698</v>
      </c>
    </row>
    <row r="3" spans="1:24" ht="15" customHeight="1">
      <c r="A3" s="759" t="s">
        <v>375</v>
      </c>
      <c r="B3" s="648"/>
      <c r="C3" s="648"/>
      <c r="D3" s="1385" t="str">
        <f>IF('Allgemeine Angaben'!D11=0,"",'Allgemeine Angaben'!D11)</f>
        <v/>
      </c>
      <c r="E3" s="1385"/>
      <c r="F3" s="1385"/>
      <c r="G3" s="1385"/>
      <c r="H3" s="1385"/>
      <c r="I3" s="1385"/>
      <c r="J3" s="649"/>
      <c r="K3" s="649"/>
      <c r="L3" s="649"/>
      <c r="M3" s="649"/>
      <c r="N3" s="649"/>
      <c r="O3" s="650"/>
      <c r="P3" s="1043" t="s">
        <v>209</v>
      </c>
      <c r="T3" s="1042">
        <v>43620</v>
      </c>
      <c r="W3" s="1314" t="s">
        <v>818</v>
      </c>
    </row>
    <row r="4" spans="1:24" ht="15" customHeight="1">
      <c r="A4" s="654" t="s">
        <v>441</v>
      </c>
      <c r="B4" s="758"/>
      <c r="C4" s="758"/>
      <c r="D4" s="1384" t="str">
        <f>IF('Allgemeine Angaben'!D15=0,"",'Allgemeine Angaben'!D15)</f>
        <v/>
      </c>
      <c r="E4" s="1384"/>
      <c r="F4" s="1384"/>
      <c r="G4" s="1384"/>
      <c r="H4" s="1384"/>
      <c r="I4" s="1384"/>
      <c r="J4" s="652"/>
      <c r="K4" s="652"/>
      <c r="L4" s="652"/>
      <c r="M4" s="652"/>
      <c r="N4" s="652"/>
      <c r="O4" s="653"/>
      <c r="T4" s="826"/>
    </row>
    <row r="5" spans="1:24" ht="15" customHeight="1" thickBot="1">
      <c r="A5" s="757" t="s">
        <v>4</v>
      </c>
      <c r="B5" s="760"/>
      <c r="C5" s="760"/>
      <c r="D5" s="1383" t="str">
        <f>IF('Allgemeine Angaben'!L6=0,"",'Allgemeine Angaben'!L6)</f>
        <v/>
      </c>
      <c r="E5" s="1383"/>
      <c r="F5" s="1383"/>
      <c r="G5" s="1383"/>
      <c r="H5" s="1383"/>
      <c r="I5" s="1383"/>
      <c r="J5" s="674" t="str">
        <f>'Allgemeine Angaben'!K4</f>
        <v>Antrag vom:</v>
      </c>
      <c r="K5" s="1048">
        <f>'Allgemeine Angaben'!L4</f>
        <v>0</v>
      </c>
      <c r="L5" s="673"/>
      <c r="M5" s="673"/>
      <c r="N5" s="673"/>
      <c r="O5" s="675"/>
      <c r="T5" s="1006" t="s">
        <v>442</v>
      </c>
    </row>
    <row r="6" spans="1:24" ht="50.25" customHeight="1" thickBot="1">
      <c r="A6" s="1372" t="s">
        <v>376</v>
      </c>
      <c r="B6" s="1373"/>
      <c r="C6" s="1373"/>
      <c r="D6" s="1373"/>
      <c r="E6" s="1373"/>
      <c r="F6" s="1373"/>
      <c r="G6" s="1373"/>
      <c r="H6" s="1373"/>
      <c r="I6" s="1373"/>
      <c r="J6" s="1373"/>
      <c r="K6" s="1373"/>
      <c r="L6" s="1373"/>
      <c r="M6" s="1373"/>
      <c r="N6" s="1373"/>
      <c r="O6" s="1374"/>
      <c r="T6" s="829" t="s">
        <v>443</v>
      </c>
    </row>
    <row r="7" spans="1:24" ht="10.5" customHeight="1">
      <c r="A7" s="741"/>
      <c r="B7" s="652"/>
      <c r="C7" s="652"/>
      <c r="D7" s="652"/>
      <c r="E7" s="652"/>
      <c r="F7" s="652"/>
      <c r="G7" s="652"/>
      <c r="H7" s="652"/>
      <c r="I7" s="652"/>
      <c r="J7" s="652"/>
      <c r="K7" s="652"/>
      <c r="L7" s="652"/>
      <c r="M7" s="652"/>
      <c r="N7" s="652"/>
      <c r="O7" s="653"/>
      <c r="T7" s="826"/>
    </row>
    <row r="8" spans="1:24" ht="15" customHeight="1">
      <c r="A8" s="651"/>
      <c r="B8" s="659"/>
      <c r="C8" s="659" t="s">
        <v>377</v>
      </c>
      <c r="D8" s="656"/>
      <c r="E8" s="656"/>
      <c r="F8" s="657"/>
      <c r="G8" s="704"/>
      <c r="H8" s="705"/>
      <c r="I8" s="705"/>
      <c r="J8" s="652"/>
      <c r="K8" s="652"/>
      <c r="L8" s="652"/>
      <c r="M8" s="652"/>
      <c r="N8" s="652"/>
      <c r="O8" s="653"/>
      <c r="T8" s="829" t="s">
        <v>444</v>
      </c>
    </row>
    <row r="9" spans="1:24" ht="15" customHeight="1">
      <c r="A9" s="651"/>
      <c r="B9" s="740"/>
      <c r="C9" s="740" t="s">
        <v>378</v>
      </c>
      <c r="D9" s="659"/>
      <c r="E9" s="659"/>
      <c r="F9" s="1413"/>
      <c r="G9" s="1414"/>
      <c r="H9" s="1414"/>
      <c r="I9" s="1415"/>
      <c r="J9" s="652"/>
      <c r="K9" s="652"/>
      <c r="L9" s="652"/>
      <c r="M9" s="652"/>
      <c r="N9" s="652"/>
      <c r="O9" s="653"/>
      <c r="T9" s="826"/>
    </row>
    <row r="10" spans="1:24" ht="14.25">
      <c r="A10" s="742"/>
      <c r="B10" s="659"/>
      <c r="C10" s="659" t="s">
        <v>379</v>
      </c>
      <c r="D10" s="661"/>
      <c r="E10" s="661"/>
      <c r="F10" s="1380"/>
      <c r="G10" s="1381"/>
      <c r="H10" s="1381"/>
      <c r="I10" s="1382"/>
      <c r="J10" s="662"/>
      <c r="K10" s="663"/>
      <c r="L10" s="663"/>
      <c r="M10" s="664"/>
      <c r="N10" s="655"/>
      <c r="O10" s="653"/>
      <c r="P10" s="1043" t="s">
        <v>211</v>
      </c>
      <c r="T10" s="1041" t="s">
        <v>585</v>
      </c>
    </row>
    <row r="11" spans="1:24" ht="15" customHeight="1">
      <c r="A11" s="654"/>
      <c r="B11" s="659"/>
      <c r="C11" s="660"/>
      <c r="D11" s="661"/>
      <c r="E11" s="661"/>
      <c r="F11" s="660"/>
      <c r="G11" s="661"/>
      <c r="H11" s="660"/>
      <c r="I11" s="661"/>
      <c r="J11" s="662"/>
      <c r="K11" s="663"/>
      <c r="L11" s="663"/>
      <c r="M11" s="664"/>
      <c r="N11" s="655"/>
      <c r="O11" s="653"/>
      <c r="T11" s="1035" t="s">
        <v>589</v>
      </c>
    </row>
    <row r="12" spans="1:24">
      <c r="A12" s="654"/>
      <c r="B12" s="659"/>
      <c r="C12" s="659" t="s">
        <v>380</v>
      </c>
      <c r="D12" s="659"/>
      <c r="E12" s="659"/>
      <c r="F12" s="659"/>
      <c r="G12" s="659"/>
      <c r="H12" s="1184"/>
      <c r="I12" s="659" t="s">
        <v>381</v>
      </c>
      <c r="J12" s="666" t="s">
        <v>382</v>
      </c>
      <c r="K12" s="667"/>
      <c r="L12" s="667"/>
      <c r="M12" s="667"/>
      <c r="N12" s="667"/>
      <c r="O12" s="668"/>
      <c r="T12" s="1035" t="s">
        <v>592</v>
      </c>
    </row>
    <row r="13" spans="1:24">
      <c r="A13" s="743"/>
      <c r="B13" s="659"/>
      <c r="C13" s="659" t="s">
        <v>383</v>
      </c>
      <c r="D13" s="659"/>
      <c r="E13" s="659"/>
      <c r="F13" s="659"/>
      <c r="G13" s="659"/>
      <c r="H13" s="1184"/>
      <c r="I13" s="659" t="s">
        <v>381</v>
      </c>
      <c r="J13" s="669" t="s">
        <v>384</v>
      </c>
      <c r="K13" s="658"/>
      <c r="L13" s="658"/>
      <c r="M13" s="665"/>
      <c r="N13" s="670"/>
      <c r="O13" s="671"/>
      <c r="R13" s="1043" t="s">
        <v>12</v>
      </c>
      <c r="S13" s="1043" t="s">
        <v>385</v>
      </c>
      <c r="T13" s="1041" t="s">
        <v>593</v>
      </c>
    </row>
    <row r="14" spans="1:24" ht="14.25" customHeight="1">
      <c r="A14" s="654"/>
      <c r="B14" s="659"/>
      <c r="C14" s="659"/>
      <c r="D14" s="659"/>
      <c r="E14" s="659"/>
      <c r="F14" s="659"/>
      <c r="G14" s="659"/>
      <c r="H14" s="659"/>
      <c r="I14" s="659"/>
      <c r="J14" s="672" t="s">
        <v>386</v>
      </c>
      <c r="K14" s="765"/>
      <c r="L14" s="765"/>
      <c r="M14" s="765"/>
      <c r="N14" s="766"/>
      <c r="O14" s="767"/>
      <c r="R14" s="1043" t="s">
        <v>387</v>
      </c>
      <c r="S14" s="1043" t="s">
        <v>388</v>
      </c>
      <c r="T14" s="826"/>
    </row>
    <row r="15" spans="1:24" ht="15" customHeight="1" thickBot="1">
      <c r="A15" s="1102" t="s">
        <v>590</v>
      </c>
      <c r="B15" s="1072" t="s">
        <v>591</v>
      </c>
      <c r="C15" s="1071"/>
      <c r="D15" s="673"/>
      <c r="E15" s="673"/>
      <c r="F15" s="673"/>
      <c r="G15" s="673"/>
      <c r="H15" s="1184"/>
      <c r="I15" s="674" t="s">
        <v>381</v>
      </c>
      <c r="J15" s="673"/>
      <c r="K15" s="673"/>
      <c r="L15" s="673"/>
      <c r="M15" s="673"/>
      <c r="N15" s="673"/>
      <c r="O15" s="675"/>
      <c r="R15" s="1043" t="s">
        <v>389</v>
      </c>
    </row>
    <row r="16" spans="1:24" ht="15" customHeight="1" thickBot="1">
      <c r="A16" s="1375"/>
      <c r="B16" s="1376"/>
      <c r="C16" s="1376"/>
      <c r="D16" s="1376"/>
      <c r="E16" s="1376"/>
      <c r="F16" s="1376"/>
      <c r="G16" s="1376"/>
      <c r="H16" s="1376"/>
      <c r="I16" s="1376"/>
      <c r="J16" s="1376"/>
      <c r="K16" s="1376"/>
      <c r="L16" s="1376"/>
      <c r="M16" s="1376"/>
      <c r="N16" s="1376"/>
      <c r="O16" s="1377"/>
      <c r="R16" s="1043" t="s">
        <v>390</v>
      </c>
      <c r="T16" s="837" t="s">
        <v>623</v>
      </c>
    </row>
    <row r="17" spans="1:21" ht="51" customHeight="1">
      <c r="A17" s="1378" t="s">
        <v>546</v>
      </c>
      <c r="B17" s="1390" t="s">
        <v>392</v>
      </c>
      <c r="C17" s="1392" t="s">
        <v>393</v>
      </c>
      <c r="D17" s="1392" t="s">
        <v>391</v>
      </c>
      <c r="E17" s="1392" t="s">
        <v>607</v>
      </c>
      <c r="F17" s="1394" t="s">
        <v>394</v>
      </c>
      <c r="G17" s="1395"/>
      <c r="H17" s="1395"/>
      <c r="I17" s="1395"/>
      <c r="J17" s="1395"/>
      <c r="K17" s="1396"/>
      <c r="L17" s="1397" t="s">
        <v>395</v>
      </c>
      <c r="M17" s="1398"/>
      <c r="N17" s="1399" t="s">
        <v>396</v>
      </c>
      <c r="O17" s="1400" t="s">
        <v>397</v>
      </c>
      <c r="R17" s="1043" t="s">
        <v>398</v>
      </c>
      <c r="T17" s="837" t="s">
        <v>622</v>
      </c>
      <c r="U17" s="1005"/>
    </row>
    <row r="18" spans="1:21" ht="60.75" customHeight="1" thickBot="1">
      <c r="A18" s="1379"/>
      <c r="B18" s="1391"/>
      <c r="C18" s="1393"/>
      <c r="D18" s="1393"/>
      <c r="E18" s="1393"/>
      <c r="F18" s="676" t="s">
        <v>399</v>
      </c>
      <c r="G18" s="676" t="s">
        <v>400</v>
      </c>
      <c r="H18" s="676" t="s">
        <v>401</v>
      </c>
      <c r="I18" s="676" t="s">
        <v>402</v>
      </c>
      <c r="J18" s="676" t="s">
        <v>422</v>
      </c>
      <c r="K18" s="676" t="s">
        <v>423</v>
      </c>
      <c r="L18" s="676" t="s">
        <v>403</v>
      </c>
      <c r="M18" s="676" t="s">
        <v>404</v>
      </c>
      <c r="N18" s="1399"/>
      <c r="O18" s="1401"/>
      <c r="T18" s="1119" t="s">
        <v>624</v>
      </c>
      <c r="U18" s="1389"/>
    </row>
    <row r="19" spans="1:21" ht="51" hidden="1" customHeight="1" thickBot="1">
      <c r="A19" s="1103"/>
      <c r="B19" s="677"/>
      <c r="C19" s="677"/>
      <c r="D19" s="677" t="s">
        <v>405</v>
      </c>
      <c r="E19" s="677"/>
      <c r="F19" s="678"/>
      <c r="G19" s="678"/>
      <c r="H19" s="678"/>
      <c r="I19" s="678"/>
      <c r="J19" s="678"/>
      <c r="K19" s="679"/>
      <c r="L19" s="680"/>
      <c r="M19" s="680"/>
      <c r="N19" s="680"/>
      <c r="O19" s="1104"/>
      <c r="R19" s="1044" t="s">
        <v>406</v>
      </c>
      <c r="U19" s="1389"/>
    </row>
    <row r="20" spans="1:21" ht="30" customHeight="1" thickBot="1">
      <c r="A20" s="1127" t="s">
        <v>626</v>
      </c>
      <c r="B20" s="681"/>
      <c r="C20" s="681"/>
      <c r="D20" s="681"/>
      <c r="E20" s="681"/>
      <c r="F20" s="681"/>
      <c r="G20" s="681"/>
      <c r="H20" s="1402" t="str">
        <f>IF($H$13&gt;0,"Beiträge zur Altersvorsorge NICHT in Spalte bAV, betriebliche Zulagen erfassen","")</f>
        <v/>
      </c>
      <c r="I20" s="1402"/>
      <c r="J20" s="1402"/>
      <c r="K20" s="1402"/>
      <c r="L20" s="1402"/>
      <c r="M20" s="1402"/>
      <c r="N20" s="1402"/>
      <c r="O20" s="1403"/>
      <c r="R20" s="1045" t="s">
        <v>388</v>
      </c>
      <c r="T20" s="791"/>
      <c r="U20" s="1389"/>
    </row>
    <row r="21" spans="1:21">
      <c r="A21" s="1009"/>
      <c r="B21" s="763"/>
      <c r="C21" s="1017"/>
      <c r="D21" s="1017"/>
      <c r="E21" s="1075"/>
      <c r="F21" s="1076">
        <f>IFERROR(E21*B21,"")</f>
        <v>0</v>
      </c>
      <c r="G21" s="682"/>
      <c r="H21" s="682"/>
      <c r="I21" s="682"/>
      <c r="J21" s="682"/>
      <c r="K21" s="682"/>
      <c r="L21" s="682"/>
      <c r="M21" s="682"/>
      <c r="N21" s="1016">
        <f>IFERROR(IF(A21&lt;&gt;"GfB",(SUM(F21:J21)*12+(L21+M21))*(100+$H$12+$H$13)%+(K21*12),(SUM(F21:J21)*12+(L21+M21))*(100+$H$15+$H$13)%+(K21*12)),0)</f>
        <v>0</v>
      </c>
      <c r="O21" s="1105">
        <f>IF(ISERROR(N21/B21),0,(N21/B21))</f>
        <v>0</v>
      </c>
      <c r="R21" s="1045" t="s">
        <v>407</v>
      </c>
      <c r="T21" s="1135" t="s">
        <v>648</v>
      </c>
    </row>
    <row r="22" spans="1:21">
      <c r="A22" s="1007"/>
      <c r="B22" s="1315"/>
      <c r="C22" s="1018"/>
      <c r="D22" s="1018"/>
      <c r="E22" s="1078"/>
      <c r="F22" s="1077">
        <f t="shared" ref="F22:F85" si="0">IFERROR(E22*B22,"")</f>
        <v>0</v>
      </c>
      <c r="G22" s="684"/>
      <c r="H22" s="684"/>
      <c r="I22" s="1316"/>
      <c r="J22" s="684"/>
      <c r="K22" s="684"/>
      <c r="L22" s="684"/>
      <c r="M22" s="684"/>
      <c r="N22" s="683">
        <f>IFERROR(IF(A22&lt;&gt;"GfB",(SUM(F22:J22)*12+(L22+M22))*(100+$H$12+$H$13)%+(K22*12),(SUM(F22:J22)*12+(L22+M22))*(100+$H$15+$H$13)%+(K22*12)),0)</f>
        <v>0</v>
      </c>
      <c r="O22" s="1105">
        <f t="shared" ref="O22:O70" si="1">IF(ISERROR(N22/B22),0,(N22/B22))</f>
        <v>0</v>
      </c>
      <c r="R22" s="1045"/>
      <c r="T22" s="829" t="s">
        <v>440</v>
      </c>
    </row>
    <row r="23" spans="1:21">
      <c r="A23" s="1007"/>
      <c r="B23" s="1315"/>
      <c r="C23" s="1018"/>
      <c r="D23" s="1018"/>
      <c r="E23" s="1078"/>
      <c r="F23" s="1077">
        <f t="shared" si="0"/>
        <v>0</v>
      </c>
      <c r="G23" s="684"/>
      <c r="H23" s="684"/>
      <c r="I23" s="1316"/>
      <c r="J23" s="684"/>
      <c r="K23" s="684"/>
      <c r="L23" s="684"/>
      <c r="M23" s="684"/>
      <c r="N23" s="683">
        <f t="shared" ref="N23:N84" si="2">IFERROR(IF(A23&lt;&gt;"GfB",(SUM(F23:J23)*12+(L23+M23))*(100+$H$12+$H$13)%+(K23*12),(SUM(F23:J23)*12+(L23+M23))*(100+$H$15+$H$13)%+(K23*12)),0)</f>
        <v>0</v>
      </c>
      <c r="O23" s="1105">
        <f t="shared" si="1"/>
        <v>0</v>
      </c>
      <c r="R23" s="1045"/>
    </row>
    <row r="24" spans="1:21">
      <c r="A24" s="1007"/>
      <c r="B24" s="1315"/>
      <c r="C24" s="1018"/>
      <c r="D24" s="1018"/>
      <c r="E24" s="1078"/>
      <c r="F24" s="1077">
        <f t="shared" si="0"/>
        <v>0</v>
      </c>
      <c r="G24" s="684"/>
      <c r="H24" s="684"/>
      <c r="I24" s="684"/>
      <c r="J24" s="684"/>
      <c r="K24" s="684"/>
      <c r="L24" s="684"/>
      <c r="M24" s="684"/>
      <c r="N24" s="683">
        <f t="shared" si="2"/>
        <v>0</v>
      </c>
      <c r="O24" s="1105">
        <f t="shared" si="1"/>
        <v>0</v>
      </c>
      <c r="R24" s="1045"/>
      <c r="T24" s="829"/>
    </row>
    <row r="25" spans="1:21">
      <c r="A25" s="1007"/>
      <c r="B25" s="1315"/>
      <c r="C25" s="1018"/>
      <c r="D25" s="1018"/>
      <c r="E25" s="1078"/>
      <c r="F25" s="1077">
        <f t="shared" si="0"/>
        <v>0</v>
      </c>
      <c r="G25" s="684"/>
      <c r="H25" s="684"/>
      <c r="I25" s="684"/>
      <c r="J25" s="684"/>
      <c r="K25" s="684"/>
      <c r="L25" s="684"/>
      <c r="M25" s="684"/>
      <c r="N25" s="683">
        <f t="shared" si="2"/>
        <v>0</v>
      </c>
      <c r="O25" s="1105">
        <f t="shared" si="1"/>
        <v>0</v>
      </c>
      <c r="R25" s="1045"/>
      <c r="T25" s="829" t="s">
        <v>448</v>
      </c>
    </row>
    <row r="26" spans="1:21">
      <c r="A26" s="1007"/>
      <c r="B26" s="1315"/>
      <c r="C26" s="1018"/>
      <c r="D26" s="1018"/>
      <c r="E26" s="1078"/>
      <c r="F26" s="1077">
        <f t="shared" si="0"/>
        <v>0</v>
      </c>
      <c r="G26" s="684"/>
      <c r="H26" s="684"/>
      <c r="I26" s="684"/>
      <c r="J26" s="684"/>
      <c r="K26" s="684"/>
      <c r="L26" s="684"/>
      <c r="M26" s="684"/>
      <c r="N26" s="683">
        <f t="shared" si="2"/>
        <v>0</v>
      </c>
      <c r="O26" s="1105">
        <f t="shared" si="1"/>
        <v>0</v>
      </c>
      <c r="R26" s="1045"/>
      <c r="T26" s="829" t="s">
        <v>447</v>
      </c>
    </row>
    <row r="27" spans="1:21">
      <c r="A27" s="1007"/>
      <c r="B27" s="1315"/>
      <c r="C27" s="1018"/>
      <c r="D27" s="1018"/>
      <c r="E27" s="1078"/>
      <c r="F27" s="1077">
        <f t="shared" si="0"/>
        <v>0</v>
      </c>
      <c r="G27" s="684"/>
      <c r="H27" s="684"/>
      <c r="I27" s="684"/>
      <c r="J27" s="684"/>
      <c r="K27" s="684"/>
      <c r="L27" s="684"/>
      <c r="M27" s="684"/>
      <c r="N27" s="683">
        <f t="shared" si="2"/>
        <v>0</v>
      </c>
      <c r="O27" s="1105">
        <f t="shared" si="1"/>
        <v>0</v>
      </c>
      <c r="R27" s="1045"/>
    </row>
    <row r="28" spans="1:21">
      <c r="A28" s="1007"/>
      <c r="B28" s="1315"/>
      <c r="C28" s="1018"/>
      <c r="D28" s="1018"/>
      <c r="E28" s="1078"/>
      <c r="F28" s="1077">
        <f t="shared" si="0"/>
        <v>0</v>
      </c>
      <c r="G28" s="684"/>
      <c r="H28" s="684"/>
      <c r="I28" s="684"/>
      <c r="J28" s="684"/>
      <c r="K28" s="684"/>
      <c r="L28" s="684"/>
      <c r="M28" s="684"/>
      <c r="N28" s="683">
        <f t="shared" si="2"/>
        <v>0</v>
      </c>
      <c r="O28" s="1105">
        <f t="shared" si="1"/>
        <v>0</v>
      </c>
      <c r="R28" s="1045"/>
      <c r="T28" s="840" t="s">
        <v>555</v>
      </c>
    </row>
    <row r="29" spans="1:21">
      <c r="A29" s="1007"/>
      <c r="B29" s="1315"/>
      <c r="C29" s="1018"/>
      <c r="D29" s="1018"/>
      <c r="E29" s="1078"/>
      <c r="F29" s="1077">
        <f t="shared" si="0"/>
        <v>0</v>
      </c>
      <c r="G29" s="684"/>
      <c r="H29" s="684"/>
      <c r="I29" s="684"/>
      <c r="J29" s="684"/>
      <c r="K29" s="684"/>
      <c r="L29" s="684"/>
      <c r="M29" s="684"/>
      <c r="N29" s="683">
        <f t="shared" si="2"/>
        <v>0</v>
      </c>
      <c r="O29" s="1105">
        <f t="shared" si="1"/>
        <v>0</v>
      </c>
      <c r="R29" s="1045"/>
    </row>
    <row r="30" spans="1:21">
      <c r="A30" s="1007"/>
      <c r="B30" s="1315"/>
      <c r="C30" s="1018"/>
      <c r="D30" s="1018"/>
      <c r="E30" s="1078"/>
      <c r="F30" s="1077">
        <f t="shared" si="0"/>
        <v>0</v>
      </c>
      <c r="G30" s="684"/>
      <c r="H30" s="684"/>
      <c r="I30" s="684"/>
      <c r="J30" s="684"/>
      <c r="K30" s="684"/>
      <c r="L30" s="684"/>
      <c r="M30" s="684"/>
      <c r="N30" s="683">
        <f t="shared" si="2"/>
        <v>0</v>
      </c>
      <c r="O30" s="1105">
        <f t="shared" si="1"/>
        <v>0</v>
      </c>
      <c r="R30" s="1045"/>
    </row>
    <row r="31" spans="1:21">
      <c r="A31" s="1007"/>
      <c r="B31" s="1315"/>
      <c r="C31" s="1018"/>
      <c r="D31" s="1018"/>
      <c r="E31" s="1078"/>
      <c r="F31" s="1077">
        <f t="shared" si="0"/>
        <v>0</v>
      </c>
      <c r="G31" s="684"/>
      <c r="H31" s="684"/>
      <c r="I31" s="684"/>
      <c r="J31" s="684"/>
      <c r="K31" s="684"/>
      <c r="L31" s="684"/>
      <c r="M31" s="684"/>
      <c r="N31" s="683">
        <f t="shared" si="2"/>
        <v>0</v>
      </c>
      <c r="O31" s="1105">
        <f t="shared" si="1"/>
        <v>0</v>
      </c>
      <c r="R31" s="1045"/>
    </row>
    <row r="32" spans="1:21">
      <c r="A32" s="1007"/>
      <c r="B32" s="1315"/>
      <c r="C32" s="1018"/>
      <c r="D32" s="1018"/>
      <c r="E32" s="1078"/>
      <c r="F32" s="1077">
        <f t="shared" si="0"/>
        <v>0</v>
      </c>
      <c r="G32" s="684"/>
      <c r="H32" s="684"/>
      <c r="I32" s="684"/>
      <c r="J32" s="684"/>
      <c r="K32" s="684"/>
      <c r="L32" s="684"/>
      <c r="M32" s="684"/>
      <c r="N32" s="683">
        <f t="shared" si="2"/>
        <v>0</v>
      </c>
      <c r="O32" s="1105">
        <f t="shared" si="1"/>
        <v>0</v>
      </c>
      <c r="R32" s="1045"/>
    </row>
    <row r="33" spans="1:18">
      <c r="A33" s="1007"/>
      <c r="B33" s="1315"/>
      <c r="C33" s="1018"/>
      <c r="D33" s="1018"/>
      <c r="E33" s="1078"/>
      <c r="F33" s="1077">
        <f t="shared" si="0"/>
        <v>0</v>
      </c>
      <c r="G33" s="684"/>
      <c r="H33" s="684"/>
      <c r="I33" s="684"/>
      <c r="J33" s="684"/>
      <c r="K33" s="684"/>
      <c r="L33" s="684"/>
      <c r="M33" s="684"/>
      <c r="N33" s="683">
        <f t="shared" si="2"/>
        <v>0</v>
      </c>
      <c r="O33" s="1105">
        <f t="shared" si="1"/>
        <v>0</v>
      </c>
      <c r="R33" s="1045"/>
    </row>
    <row r="34" spans="1:18">
      <c r="A34" s="1007"/>
      <c r="B34" s="1315"/>
      <c r="C34" s="1018"/>
      <c r="D34" s="1018"/>
      <c r="E34" s="1078"/>
      <c r="F34" s="1077">
        <f t="shared" si="0"/>
        <v>0</v>
      </c>
      <c r="G34" s="684"/>
      <c r="H34" s="684"/>
      <c r="I34" s="684"/>
      <c r="J34" s="684"/>
      <c r="K34" s="684"/>
      <c r="L34" s="684"/>
      <c r="M34" s="684"/>
      <c r="N34" s="683">
        <f t="shared" si="2"/>
        <v>0</v>
      </c>
      <c r="O34" s="1105">
        <f t="shared" si="1"/>
        <v>0</v>
      </c>
      <c r="R34" s="1045"/>
    </row>
    <row r="35" spans="1:18">
      <c r="A35" s="1007"/>
      <c r="B35" s="1315"/>
      <c r="C35" s="1018"/>
      <c r="D35" s="1018"/>
      <c r="E35" s="1078"/>
      <c r="F35" s="1077">
        <f t="shared" si="0"/>
        <v>0</v>
      </c>
      <c r="G35" s="684"/>
      <c r="H35" s="684"/>
      <c r="I35" s="684"/>
      <c r="J35" s="684"/>
      <c r="K35" s="684"/>
      <c r="L35" s="684"/>
      <c r="M35" s="684"/>
      <c r="N35" s="683">
        <f t="shared" si="2"/>
        <v>0</v>
      </c>
      <c r="O35" s="1105">
        <f t="shared" si="1"/>
        <v>0</v>
      </c>
      <c r="R35" s="1045"/>
    </row>
    <row r="36" spans="1:18">
      <c r="A36" s="1007"/>
      <c r="B36" s="1315"/>
      <c r="C36" s="1018"/>
      <c r="D36" s="1018"/>
      <c r="E36" s="1078"/>
      <c r="F36" s="1077">
        <f t="shared" si="0"/>
        <v>0</v>
      </c>
      <c r="G36" s="684"/>
      <c r="H36" s="684"/>
      <c r="I36" s="684"/>
      <c r="J36" s="684"/>
      <c r="K36" s="684"/>
      <c r="L36" s="684"/>
      <c r="M36" s="684"/>
      <c r="N36" s="683">
        <f t="shared" si="2"/>
        <v>0</v>
      </c>
      <c r="O36" s="1105">
        <f t="shared" si="1"/>
        <v>0</v>
      </c>
      <c r="R36" s="1045"/>
    </row>
    <row r="37" spans="1:18">
      <c r="A37" s="1007"/>
      <c r="B37" s="1315"/>
      <c r="C37" s="1018"/>
      <c r="D37" s="1018"/>
      <c r="E37" s="1078"/>
      <c r="F37" s="1077">
        <f t="shared" si="0"/>
        <v>0</v>
      </c>
      <c r="G37" s="684"/>
      <c r="H37" s="684"/>
      <c r="I37" s="684"/>
      <c r="J37" s="684"/>
      <c r="K37" s="684"/>
      <c r="L37" s="684"/>
      <c r="M37" s="684"/>
      <c r="N37" s="683">
        <f t="shared" si="2"/>
        <v>0</v>
      </c>
      <c r="O37" s="1105">
        <f t="shared" si="1"/>
        <v>0</v>
      </c>
      <c r="R37" s="1045"/>
    </row>
    <row r="38" spans="1:18">
      <c r="A38" s="1007"/>
      <c r="B38" s="1315"/>
      <c r="C38" s="1018"/>
      <c r="D38" s="1018"/>
      <c r="E38" s="1078"/>
      <c r="F38" s="1077">
        <f t="shared" si="0"/>
        <v>0</v>
      </c>
      <c r="G38" s="684"/>
      <c r="H38" s="684"/>
      <c r="I38" s="684"/>
      <c r="J38" s="684"/>
      <c r="K38" s="684"/>
      <c r="L38" s="684"/>
      <c r="M38" s="684"/>
      <c r="N38" s="683">
        <f t="shared" si="2"/>
        <v>0</v>
      </c>
      <c r="O38" s="1105">
        <f t="shared" si="1"/>
        <v>0</v>
      </c>
      <c r="R38" s="1045"/>
    </row>
    <row r="39" spans="1:18">
      <c r="A39" s="1007"/>
      <c r="B39" s="1315"/>
      <c r="C39" s="1018"/>
      <c r="D39" s="1018"/>
      <c r="E39" s="1078"/>
      <c r="F39" s="1077">
        <f t="shared" si="0"/>
        <v>0</v>
      </c>
      <c r="G39" s="684"/>
      <c r="H39" s="684"/>
      <c r="I39" s="684"/>
      <c r="J39" s="684"/>
      <c r="K39" s="684"/>
      <c r="L39" s="684"/>
      <c r="M39" s="684"/>
      <c r="N39" s="683">
        <f t="shared" si="2"/>
        <v>0</v>
      </c>
      <c r="O39" s="1105">
        <f t="shared" si="1"/>
        <v>0</v>
      </c>
      <c r="R39" s="1045"/>
    </row>
    <row r="40" spans="1:18">
      <c r="A40" s="1007"/>
      <c r="B40" s="1315"/>
      <c r="C40" s="1018"/>
      <c r="D40" s="1018"/>
      <c r="E40" s="1078"/>
      <c r="F40" s="1077">
        <f t="shared" si="0"/>
        <v>0</v>
      </c>
      <c r="G40" s="684"/>
      <c r="H40" s="684"/>
      <c r="I40" s="684"/>
      <c r="J40" s="684"/>
      <c r="K40" s="684"/>
      <c r="L40" s="684"/>
      <c r="M40" s="684"/>
      <c r="N40" s="683">
        <f t="shared" si="2"/>
        <v>0</v>
      </c>
      <c r="O40" s="1105">
        <f t="shared" si="1"/>
        <v>0</v>
      </c>
      <c r="R40" s="1045"/>
    </row>
    <row r="41" spans="1:18">
      <c r="A41" s="1007"/>
      <c r="B41" s="1315"/>
      <c r="C41" s="1018"/>
      <c r="D41" s="1018"/>
      <c r="E41" s="1078"/>
      <c r="F41" s="1077">
        <f t="shared" si="0"/>
        <v>0</v>
      </c>
      <c r="G41" s="684"/>
      <c r="H41" s="684"/>
      <c r="I41" s="684"/>
      <c r="J41" s="684"/>
      <c r="K41" s="684"/>
      <c r="L41" s="684"/>
      <c r="M41" s="684"/>
      <c r="N41" s="683">
        <f t="shared" si="2"/>
        <v>0</v>
      </c>
      <c r="O41" s="1105">
        <f t="shared" si="1"/>
        <v>0</v>
      </c>
      <c r="R41" s="1045"/>
    </row>
    <row r="42" spans="1:18">
      <c r="A42" s="1007"/>
      <c r="B42" s="1315"/>
      <c r="C42" s="1018"/>
      <c r="D42" s="1018"/>
      <c r="E42" s="1078"/>
      <c r="F42" s="1077">
        <f t="shared" si="0"/>
        <v>0</v>
      </c>
      <c r="G42" s="684"/>
      <c r="H42" s="684"/>
      <c r="I42" s="684"/>
      <c r="J42" s="684"/>
      <c r="K42" s="684"/>
      <c r="L42" s="684"/>
      <c r="M42" s="684"/>
      <c r="N42" s="683">
        <f t="shared" si="2"/>
        <v>0</v>
      </c>
      <c r="O42" s="1105">
        <f t="shared" si="1"/>
        <v>0</v>
      </c>
      <c r="R42" s="1045"/>
    </row>
    <row r="43" spans="1:18">
      <c r="A43" s="1007"/>
      <c r="B43" s="1315"/>
      <c r="C43" s="1018"/>
      <c r="D43" s="1018"/>
      <c r="E43" s="1078"/>
      <c r="F43" s="1077">
        <f t="shared" si="0"/>
        <v>0</v>
      </c>
      <c r="G43" s="684"/>
      <c r="H43" s="684"/>
      <c r="I43" s="684"/>
      <c r="J43" s="684"/>
      <c r="K43" s="684"/>
      <c r="L43" s="684"/>
      <c r="M43" s="684"/>
      <c r="N43" s="683">
        <f t="shared" si="2"/>
        <v>0</v>
      </c>
      <c r="O43" s="1105">
        <f t="shared" si="1"/>
        <v>0</v>
      </c>
      <c r="R43" s="1045"/>
    </row>
    <row r="44" spans="1:18">
      <c r="A44" s="1007"/>
      <c r="B44" s="1315"/>
      <c r="C44" s="1018"/>
      <c r="D44" s="1018"/>
      <c r="E44" s="1078"/>
      <c r="F44" s="1077">
        <f t="shared" si="0"/>
        <v>0</v>
      </c>
      <c r="G44" s="684"/>
      <c r="H44" s="684"/>
      <c r="I44" s="684"/>
      <c r="J44" s="684"/>
      <c r="K44" s="684"/>
      <c r="L44" s="684"/>
      <c r="M44" s="684"/>
      <c r="N44" s="683">
        <f t="shared" si="2"/>
        <v>0</v>
      </c>
      <c r="O44" s="1105">
        <f t="shared" si="1"/>
        <v>0</v>
      </c>
      <c r="R44" s="1045"/>
    </row>
    <row r="45" spans="1:18">
      <c r="A45" s="1007"/>
      <c r="B45" s="1315"/>
      <c r="C45" s="1018"/>
      <c r="D45" s="1018"/>
      <c r="E45" s="1078"/>
      <c r="F45" s="1077">
        <f t="shared" si="0"/>
        <v>0</v>
      </c>
      <c r="G45" s="684"/>
      <c r="H45" s="684"/>
      <c r="I45" s="684"/>
      <c r="J45" s="684"/>
      <c r="K45" s="684"/>
      <c r="L45" s="684"/>
      <c r="M45" s="684"/>
      <c r="N45" s="683">
        <f t="shared" si="2"/>
        <v>0</v>
      </c>
      <c r="O45" s="1105">
        <f t="shared" si="1"/>
        <v>0</v>
      </c>
      <c r="R45" s="1045"/>
    </row>
    <row r="46" spans="1:18">
      <c r="A46" s="1007"/>
      <c r="B46" s="1315"/>
      <c r="C46" s="1018"/>
      <c r="D46" s="1018"/>
      <c r="E46" s="1078"/>
      <c r="F46" s="1077">
        <f t="shared" si="0"/>
        <v>0</v>
      </c>
      <c r="G46" s="684"/>
      <c r="H46" s="684"/>
      <c r="I46" s="684"/>
      <c r="J46" s="684"/>
      <c r="K46" s="684"/>
      <c r="L46" s="684"/>
      <c r="M46" s="684"/>
      <c r="N46" s="683">
        <f t="shared" si="2"/>
        <v>0</v>
      </c>
      <c r="O46" s="1105">
        <f t="shared" si="1"/>
        <v>0</v>
      </c>
      <c r="R46" s="1045"/>
    </row>
    <row r="47" spans="1:18">
      <c r="A47" s="1007"/>
      <c r="B47" s="1315"/>
      <c r="C47" s="1018"/>
      <c r="D47" s="1018"/>
      <c r="E47" s="1078"/>
      <c r="F47" s="1077">
        <f t="shared" si="0"/>
        <v>0</v>
      </c>
      <c r="G47" s="684"/>
      <c r="H47" s="684"/>
      <c r="I47" s="684"/>
      <c r="J47" s="684"/>
      <c r="K47" s="684"/>
      <c r="L47" s="684"/>
      <c r="M47" s="684"/>
      <c r="N47" s="683">
        <f t="shared" si="2"/>
        <v>0</v>
      </c>
      <c r="O47" s="1105">
        <f t="shared" si="1"/>
        <v>0</v>
      </c>
      <c r="R47" s="1045"/>
    </row>
    <row r="48" spans="1:18">
      <c r="A48" s="1007"/>
      <c r="B48" s="1315"/>
      <c r="C48" s="1018"/>
      <c r="D48" s="1018"/>
      <c r="E48" s="1078"/>
      <c r="F48" s="1077">
        <f t="shared" si="0"/>
        <v>0</v>
      </c>
      <c r="G48" s="684"/>
      <c r="H48" s="684"/>
      <c r="I48" s="684"/>
      <c r="J48" s="684"/>
      <c r="K48" s="684"/>
      <c r="L48" s="684"/>
      <c r="M48" s="684"/>
      <c r="N48" s="683">
        <f t="shared" si="2"/>
        <v>0</v>
      </c>
      <c r="O48" s="1105">
        <f t="shared" si="1"/>
        <v>0</v>
      </c>
      <c r="R48" s="1045"/>
    </row>
    <row r="49" spans="1:18">
      <c r="A49" s="1007"/>
      <c r="B49" s="1315"/>
      <c r="C49" s="1018"/>
      <c r="D49" s="1018"/>
      <c r="E49" s="1078"/>
      <c r="F49" s="1077">
        <f t="shared" si="0"/>
        <v>0</v>
      </c>
      <c r="G49" s="684"/>
      <c r="H49" s="684"/>
      <c r="I49" s="684"/>
      <c r="J49" s="684"/>
      <c r="K49" s="684"/>
      <c r="L49" s="684"/>
      <c r="M49" s="684"/>
      <c r="N49" s="683">
        <f t="shared" si="2"/>
        <v>0</v>
      </c>
      <c r="O49" s="1105">
        <f t="shared" si="1"/>
        <v>0</v>
      </c>
      <c r="R49" s="1045"/>
    </row>
    <row r="50" spans="1:18">
      <c r="A50" s="1007"/>
      <c r="B50" s="1315"/>
      <c r="C50" s="1018"/>
      <c r="D50" s="1018"/>
      <c r="E50" s="1078"/>
      <c r="F50" s="1077">
        <f t="shared" si="0"/>
        <v>0</v>
      </c>
      <c r="G50" s="684"/>
      <c r="H50" s="684"/>
      <c r="I50" s="684"/>
      <c r="J50" s="684"/>
      <c r="K50" s="684"/>
      <c r="L50" s="684"/>
      <c r="M50" s="684"/>
      <c r="N50" s="683">
        <f t="shared" si="2"/>
        <v>0</v>
      </c>
      <c r="O50" s="1105">
        <f t="shared" si="1"/>
        <v>0</v>
      </c>
      <c r="R50" s="1045"/>
    </row>
    <row r="51" spans="1:18">
      <c r="A51" s="1007"/>
      <c r="B51" s="1315"/>
      <c r="C51" s="1018"/>
      <c r="D51" s="1018"/>
      <c r="E51" s="1078"/>
      <c r="F51" s="1077">
        <f t="shared" si="0"/>
        <v>0</v>
      </c>
      <c r="G51" s="684"/>
      <c r="H51" s="684"/>
      <c r="I51" s="684"/>
      <c r="J51" s="684"/>
      <c r="K51" s="684"/>
      <c r="L51" s="684"/>
      <c r="M51" s="684"/>
      <c r="N51" s="683">
        <f t="shared" si="2"/>
        <v>0</v>
      </c>
      <c r="O51" s="1105">
        <f t="shared" si="1"/>
        <v>0</v>
      </c>
      <c r="R51" s="1045"/>
    </row>
    <row r="52" spans="1:18">
      <c r="A52" s="1007"/>
      <c r="B52" s="1315"/>
      <c r="C52" s="1018"/>
      <c r="D52" s="1018"/>
      <c r="E52" s="1078"/>
      <c r="F52" s="1077">
        <f t="shared" si="0"/>
        <v>0</v>
      </c>
      <c r="G52" s="684"/>
      <c r="H52" s="684"/>
      <c r="I52" s="684"/>
      <c r="J52" s="684"/>
      <c r="K52" s="684"/>
      <c r="L52" s="684"/>
      <c r="M52" s="684"/>
      <c r="N52" s="683">
        <f t="shared" si="2"/>
        <v>0</v>
      </c>
      <c r="O52" s="1105">
        <f t="shared" si="1"/>
        <v>0</v>
      </c>
      <c r="R52" s="1045"/>
    </row>
    <row r="53" spans="1:18">
      <c r="A53" s="1007"/>
      <c r="B53" s="1315"/>
      <c r="C53" s="1018"/>
      <c r="D53" s="1018"/>
      <c r="E53" s="1078"/>
      <c r="F53" s="1077">
        <f t="shared" si="0"/>
        <v>0</v>
      </c>
      <c r="G53" s="684"/>
      <c r="H53" s="684"/>
      <c r="I53" s="684"/>
      <c r="J53" s="684"/>
      <c r="K53" s="684"/>
      <c r="L53" s="684"/>
      <c r="M53" s="684"/>
      <c r="N53" s="683">
        <f t="shared" si="2"/>
        <v>0</v>
      </c>
      <c r="O53" s="1105">
        <f t="shared" si="1"/>
        <v>0</v>
      </c>
      <c r="R53" s="1045"/>
    </row>
    <row r="54" spans="1:18">
      <c r="A54" s="1007"/>
      <c r="B54" s="1315"/>
      <c r="C54" s="1018"/>
      <c r="D54" s="1018"/>
      <c r="E54" s="1078"/>
      <c r="F54" s="1077">
        <f t="shared" si="0"/>
        <v>0</v>
      </c>
      <c r="G54" s="684"/>
      <c r="H54" s="684"/>
      <c r="I54" s="684"/>
      <c r="J54" s="684"/>
      <c r="K54" s="684"/>
      <c r="L54" s="684"/>
      <c r="M54" s="684"/>
      <c r="N54" s="683">
        <f t="shared" si="2"/>
        <v>0</v>
      </c>
      <c r="O54" s="1105">
        <f t="shared" si="1"/>
        <v>0</v>
      </c>
      <c r="R54" s="1045"/>
    </row>
    <row r="55" spans="1:18">
      <c r="A55" s="1007"/>
      <c r="B55" s="1315"/>
      <c r="C55" s="1018"/>
      <c r="D55" s="1018"/>
      <c r="E55" s="1078"/>
      <c r="F55" s="1077">
        <f t="shared" si="0"/>
        <v>0</v>
      </c>
      <c r="G55" s="684"/>
      <c r="H55" s="684"/>
      <c r="I55" s="684"/>
      <c r="J55" s="684"/>
      <c r="K55" s="684"/>
      <c r="L55" s="684"/>
      <c r="M55" s="684"/>
      <c r="N55" s="683">
        <f t="shared" si="2"/>
        <v>0</v>
      </c>
      <c r="O55" s="1105">
        <f t="shared" si="1"/>
        <v>0</v>
      </c>
      <c r="R55" s="1045"/>
    </row>
    <row r="56" spans="1:18">
      <c r="A56" s="1007"/>
      <c r="B56" s="1315"/>
      <c r="C56" s="1018"/>
      <c r="D56" s="1018"/>
      <c r="E56" s="1078"/>
      <c r="F56" s="1077">
        <f t="shared" si="0"/>
        <v>0</v>
      </c>
      <c r="G56" s="684"/>
      <c r="H56" s="684"/>
      <c r="I56" s="684"/>
      <c r="J56" s="684"/>
      <c r="K56" s="684"/>
      <c r="L56" s="684"/>
      <c r="M56" s="684"/>
      <c r="N56" s="683">
        <f t="shared" si="2"/>
        <v>0</v>
      </c>
      <c r="O56" s="1105">
        <f t="shared" si="1"/>
        <v>0</v>
      </c>
      <c r="R56" s="1045"/>
    </row>
    <row r="57" spans="1:18">
      <c r="A57" s="1007"/>
      <c r="B57" s="1315"/>
      <c r="C57" s="1018"/>
      <c r="D57" s="1018"/>
      <c r="E57" s="1078"/>
      <c r="F57" s="1077">
        <f t="shared" si="0"/>
        <v>0</v>
      </c>
      <c r="G57" s="684"/>
      <c r="H57" s="684"/>
      <c r="I57" s="684"/>
      <c r="J57" s="684"/>
      <c r="K57" s="684"/>
      <c r="L57" s="684"/>
      <c r="M57" s="684"/>
      <c r="N57" s="683">
        <f t="shared" si="2"/>
        <v>0</v>
      </c>
      <c r="O57" s="1105">
        <f t="shared" si="1"/>
        <v>0</v>
      </c>
      <c r="R57" s="1045"/>
    </row>
    <row r="58" spans="1:18">
      <c r="A58" s="1007"/>
      <c r="B58" s="1315"/>
      <c r="C58" s="1018"/>
      <c r="D58" s="1018"/>
      <c r="E58" s="1078"/>
      <c r="F58" s="1077">
        <f t="shared" si="0"/>
        <v>0</v>
      </c>
      <c r="G58" s="684"/>
      <c r="H58" s="684"/>
      <c r="I58" s="684"/>
      <c r="J58" s="684"/>
      <c r="K58" s="684"/>
      <c r="L58" s="684"/>
      <c r="M58" s="684"/>
      <c r="N58" s="683">
        <f t="shared" si="2"/>
        <v>0</v>
      </c>
      <c r="O58" s="1105">
        <f t="shared" si="1"/>
        <v>0</v>
      </c>
      <c r="R58" s="1045"/>
    </row>
    <row r="59" spans="1:18">
      <c r="A59" s="1007"/>
      <c r="B59" s="1315"/>
      <c r="C59" s="1018"/>
      <c r="D59" s="1018"/>
      <c r="E59" s="1078"/>
      <c r="F59" s="1077">
        <f t="shared" si="0"/>
        <v>0</v>
      </c>
      <c r="G59" s="684"/>
      <c r="H59" s="684"/>
      <c r="I59" s="684"/>
      <c r="J59" s="684"/>
      <c r="K59" s="684"/>
      <c r="L59" s="684"/>
      <c r="M59" s="684"/>
      <c r="N59" s="683">
        <f t="shared" si="2"/>
        <v>0</v>
      </c>
      <c r="O59" s="1105">
        <f t="shared" si="1"/>
        <v>0</v>
      </c>
      <c r="R59" s="1045"/>
    </row>
    <row r="60" spans="1:18">
      <c r="A60" s="1007"/>
      <c r="B60" s="1315"/>
      <c r="C60" s="1018"/>
      <c r="D60" s="1018"/>
      <c r="E60" s="1078"/>
      <c r="F60" s="1077">
        <f t="shared" si="0"/>
        <v>0</v>
      </c>
      <c r="G60" s="684"/>
      <c r="H60" s="684"/>
      <c r="I60" s="684"/>
      <c r="J60" s="684"/>
      <c r="K60" s="684"/>
      <c r="L60" s="684"/>
      <c r="M60" s="684"/>
      <c r="N60" s="683">
        <f t="shared" si="2"/>
        <v>0</v>
      </c>
      <c r="O60" s="1105">
        <f t="shared" si="1"/>
        <v>0</v>
      </c>
      <c r="R60" s="1045"/>
    </row>
    <row r="61" spans="1:18">
      <c r="A61" s="1007"/>
      <c r="B61" s="1315"/>
      <c r="C61" s="1018"/>
      <c r="D61" s="1018"/>
      <c r="E61" s="1078"/>
      <c r="F61" s="1077">
        <f t="shared" si="0"/>
        <v>0</v>
      </c>
      <c r="G61" s="684"/>
      <c r="H61" s="684"/>
      <c r="I61" s="684"/>
      <c r="J61" s="684"/>
      <c r="K61" s="684"/>
      <c r="L61" s="684"/>
      <c r="M61" s="684"/>
      <c r="N61" s="683">
        <f t="shared" si="2"/>
        <v>0</v>
      </c>
      <c r="O61" s="1105">
        <f t="shared" si="1"/>
        <v>0</v>
      </c>
      <c r="R61" s="1045"/>
    </row>
    <row r="62" spans="1:18">
      <c r="A62" s="1007"/>
      <c r="B62" s="1315"/>
      <c r="C62" s="1018"/>
      <c r="D62" s="1018"/>
      <c r="E62" s="1078"/>
      <c r="F62" s="1077">
        <f t="shared" si="0"/>
        <v>0</v>
      </c>
      <c r="G62" s="684"/>
      <c r="H62" s="684"/>
      <c r="I62" s="684"/>
      <c r="J62" s="684"/>
      <c r="K62" s="684"/>
      <c r="L62" s="684"/>
      <c r="M62" s="684"/>
      <c r="N62" s="683">
        <f t="shared" si="2"/>
        <v>0</v>
      </c>
      <c r="O62" s="1105">
        <f t="shared" si="1"/>
        <v>0</v>
      </c>
      <c r="R62" s="1045"/>
    </row>
    <row r="63" spans="1:18">
      <c r="A63" s="1007"/>
      <c r="B63" s="1315"/>
      <c r="C63" s="1018"/>
      <c r="D63" s="1018"/>
      <c r="E63" s="1078"/>
      <c r="F63" s="1077">
        <f t="shared" si="0"/>
        <v>0</v>
      </c>
      <c r="G63" s="684"/>
      <c r="H63" s="684"/>
      <c r="I63" s="684"/>
      <c r="J63" s="684"/>
      <c r="K63" s="684"/>
      <c r="L63" s="684"/>
      <c r="M63" s="684"/>
      <c r="N63" s="683">
        <f t="shared" si="2"/>
        <v>0</v>
      </c>
      <c r="O63" s="1105">
        <f t="shared" si="1"/>
        <v>0</v>
      </c>
      <c r="R63" s="1045"/>
    </row>
    <row r="64" spans="1:18">
      <c r="A64" s="1007"/>
      <c r="B64" s="1315"/>
      <c r="C64" s="1018"/>
      <c r="D64" s="1018"/>
      <c r="E64" s="1078"/>
      <c r="F64" s="1077">
        <f t="shared" si="0"/>
        <v>0</v>
      </c>
      <c r="G64" s="684"/>
      <c r="H64" s="684"/>
      <c r="I64" s="684"/>
      <c r="J64" s="684"/>
      <c r="K64" s="684"/>
      <c r="L64" s="684"/>
      <c r="M64" s="684"/>
      <c r="N64" s="683">
        <f t="shared" si="2"/>
        <v>0</v>
      </c>
      <c r="O64" s="1105">
        <f t="shared" si="1"/>
        <v>0</v>
      </c>
      <c r="R64" s="1045"/>
    </row>
    <row r="65" spans="1:21">
      <c r="A65" s="1007"/>
      <c r="B65" s="1315"/>
      <c r="C65" s="1018"/>
      <c r="D65" s="1018"/>
      <c r="E65" s="1078"/>
      <c r="F65" s="1077">
        <f t="shared" si="0"/>
        <v>0</v>
      </c>
      <c r="G65" s="684"/>
      <c r="H65" s="684"/>
      <c r="I65" s="684"/>
      <c r="J65" s="684"/>
      <c r="K65" s="684"/>
      <c r="L65" s="684"/>
      <c r="M65" s="684"/>
      <c r="N65" s="683">
        <f t="shared" si="2"/>
        <v>0</v>
      </c>
      <c r="O65" s="1105">
        <f t="shared" si="1"/>
        <v>0</v>
      </c>
      <c r="R65" s="1045"/>
    </row>
    <row r="66" spans="1:21">
      <c r="A66" s="1007"/>
      <c r="B66" s="1315"/>
      <c r="C66" s="1018"/>
      <c r="D66" s="1018"/>
      <c r="E66" s="1078"/>
      <c r="F66" s="1077">
        <f t="shared" si="0"/>
        <v>0</v>
      </c>
      <c r="G66" s="684"/>
      <c r="H66" s="684"/>
      <c r="I66" s="684"/>
      <c r="J66" s="684"/>
      <c r="K66" s="684"/>
      <c r="L66" s="684"/>
      <c r="M66" s="684"/>
      <c r="N66" s="683">
        <f t="shared" si="2"/>
        <v>0</v>
      </c>
      <c r="O66" s="1105">
        <f t="shared" si="1"/>
        <v>0</v>
      </c>
      <c r="R66" s="1045"/>
    </row>
    <row r="67" spans="1:21">
      <c r="A67" s="1007"/>
      <c r="B67" s="1315"/>
      <c r="C67" s="1018"/>
      <c r="D67" s="1018"/>
      <c r="E67" s="1078"/>
      <c r="F67" s="1077">
        <f t="shared" si="0"/>
        <v>0</v>
      </c>
      <c r="G67" s="684"/>
      <c r="H67" s="684"/>
      <c r="I67" s="684"/>
      <c r="J67" s="684"/>
      <c r="K67" s="684"/>
      <c r="L67" s="684"/>
      <c r="M67" s="684"/>
      <c r="N67" s="683">
        <f t="shared" si="2"/>
        <v>0</v>
      </c>
      <c r="O67" s="1105">
        <f t="shared" si="1"/>
        <v>0</v>
      </c>
      <c r="R67" s="1045"/>
    </row>
    <row r="68" spans="1:21">
      <c r="A68" s="1007"/>
      <c r="B68" s="1315"/>
      <c r="C68" s="1018"/>
      <c r="D68" s="1018"/>
      <c r="E68" s="1078"/>
      <c r="F68" s="1077">
        <f t="shared" si="0"/>
        <v>0</v>
      </c>
      <c r="G68" s="684"/>
      <c r="H68" s="684"/>
      <c r="I68" s="684"/>
      <c r="J68" s="684"/>
      <c r="K68" s="684"/>
      <c r="L68" s="684"/>
      <c r="M68" s="684"/>
      <c r="N68" s="683">
        <f t="shared" si="2"/>
        <v>0</v>
      </c>
      <c r="O68" s="1105">
        <f t="shared" si="1"/>
        <v>0</v>
      </c>
      <c r="R68" s="1045"/>
    </row>
    <row r="69" spans="1:21">
      <c r="A69" s="1007"/>
      <c r="B69" s="1315"/>
      <c r="C69" s="1018"/>
      <c r="D69" s="1018"/>
      <c r="E69" s="1078"/>
      <c r="F69" s="1077">
        <f t="shared" si="0"/>
        <v>0</v>
      </c>
      <c r="G69" s="684"/>
      <c r="H69" s="684"/>
      <c r="I69" s="684"/>
      <c r="J69" s="684"/>
      <c r="K69" s="684"/>
      <c r="L69" s="684"/>
      <c r="M69" s="684"/>
      <c r="N69" s="683">
        <f t="shared" si="2"/>
        <v>0</v>
      </c>
      <c r="O69" s="1105">
        <f t="shared" si="1"/>
        <v>0</v>
      </c>
      <c r="R69" s="1045"/>
    </row>
    <row r="70" spans="1:21">
      <c r="A70" s="1007"/>
      <c r="B70" s="1315"/>
      <c r="C70" s="1018"/>
      <c r="D70" s="1018"/>
      <c r="E70" s="1078"/>
      <c r="F70" s="1077">
        <f t="shared" si="0"/>
        <v>0</v>
      </c>
      <c r="G70" s="684"/>
      <c r="H70" s="684"/>
      <c r="I70" s="684"/>
      <c r="J70" s="684"/>
      <c r="K70" s="684"/>
      <c r="L70" s="684"/>
      <c r="M70" s="684"/>
      <c r="N70" s="683">
        <f t="shared" si="2"/>
        <v>0</v>
      </c>
      <c r="O70" s="1105">
        <f t="shared" si="1"/>
        <v>0</v>
      </c>
      <c r="R70" s="1045"/>
    </row>
    <row r="71" spans="1:21">
      <c r="A71" s="1007"/>
      <c r="B71" s="1315"/>
      <c r="C71" s="1018"/>
      <c r="D71" s="1018"/>
      <c r="E71" s="1078"/>
      <c r="F71" s="1077">
        <f t="shared" si="0"/>
        <v>0</v>
      </c>
      <c r="G71" s="684"/>
      <c r="H71" s="684"/>
      <c r="I71" s="684"/>
      <c r="J71" s="684"/>
      <c r="K71" s="684"/>
      <c r="L71" s="684"/>
      <c r="M71" s="684"/>
      <c r="N71" s="683">
        <f t="shared" si="2"/>
        <v>0</v>
      </c>
      <c r="O71" s="1105">
        <f t="shared" ref="O71:O120" si="3">IF(ISERROR(N71/B71),0,(N71/B71))</f>
        <v>0</v>
      </c>
      <c r="R71" s="1045" t="s">
        <v>408</v>
      </c>
    </row>
    <row r="72" spans="1:21">
      <c r="A72" s="1007"/>
      <c r="B72" s="1315"/>
      <c r="C72" s="1018"/>
      <c r="D72" s="1018"/>
      <c r="E72" s="1078"/>
      <c r="F72" s="1077">
        <f t="shared" si="0"/>
        <v>0</v>
      </c>
      <c r="G72" s="684"/>
      <c r="H72" s="684"/>
      <c r="I72" s="684"/>
      <c r="J72" s="684"/>
      <c r="K72" s="684"/>
      <c r="L72" s="684"/>
      <c r="M72" s="684"/>
      <c r="N72" s="683">
        <f t="shared" si="2"/>
        <v>0</v>
      </c>
      <c r="O72" s="1105">
        <f t="shared" si="3"/>
        <v>0</v>
      </c>
      <c r="R72" s="1045" t="s">
        <v>409</v>
      </c>
      <c r="U72" s="827"/>
    </row>
    <row r="73" spans="1:21">
      <c r="A73" s="1007"/>
      <c r="B73" s="1315"/>
      <c r="C73" s="1018"/>
      <c r="D73" s="1018"/>
      <c r="E73" s="1078"/>
      <c r="F73" s="1077">
        <f t="shared" si="0"/>
        <v>0</v>
      </c>
      <c r="G73" s="684"/>
      <c r="H73" s="684"/>
      <c r="I73" s="684"/>
      <c r="J73" s="684"/>
      <c r="K73" s="684"/>
      <c r="L73" s="684"/>
      <c r="M73" s="684"/>
      <c r="N73" s="683">
        <f t="shared" si="2"/>
        <v>0</v>
      </c>
      <c r="O73" s="1105">
        <f t="shared" si="3"/>
        <v>0</v>
      </c>
      <c r="R73" s="1046"/>
    </row>
    <row r="74" spans="1:21">
      <c r="A74" s="1007"/>
      <c r="B74" s="1315"/>
      <c r="C74" s="1018"/>
      <c r="D74" s="1018"/>
      <c r="E74" s="1078"/>
      <c r="F74" s="1077">
        <f t="shared" si="0"/>
        <v>0</v>
      </c>
      <c r="G74" s="684"/>
      <c r="H74" s="684"/>
      <c r="I74" s="684"/>
      <c r="J74" s="684"/>
      <c r="K74" s="684"/>
      <c r="L74" s="684"/>
      <c r="M74" s="684"/>
      <c r="N74" s="683">
        <f t="shared" si="2"/>
        <v>0</v>
      </c>
      <c r="O74" s="1105">
        <f t="shared" si="3"/>
        <v>0</v>
      </c>
      <c r="R74" s="1044" t="s">
        <v>406</v>
      </c>
      <c r="U74" s="827"/>
    </row>
    <row r="75" spans="1:21">
      <c r="A75" s="1007"/>
      <c r="B75" s="1315"/>
      <c r="C75" s="1018"/>
      <c r="D75" s="1018"/>
      <c r="E75" s="1078"/>
      <c r="F75" s="1077">
        <f t="shared" si="0"/>
        <v>0</v>
      </c>
      <c r="G75" s="684"/>
      <c r="H75" s="684"/>
      <c r="I75" s="684"/>
      <c r="J75" s="684"/>
      <c r="K75" s="684"/>
      <c r="L75" s="684"/>
      <c r="M75" s="684"/>
      <c r="N75" s="683">
        <f t="shared" si="2"/>
        <v>0</v>
      </c>
      <c r="O75" s="1105">
        <f t="shared" si="3"/>
        <v>0</v>
      </c>
      <c r="R75" s="1045" t="s">
        <v>388</v>
      </c>
    </row>
    <row r="76" spans="1:21">
      <c r="A76" s="1007"/>
      <c r="B76" s="1315"/>
      <c r="C76" s="1018"/>
      <c r="D76" s="1018"/>
      <c r="E76" s="1078"/>
      <c r="F76" s="1077">
        <f t="shared" si="0"/>
        <v>0</v>
      </c>
      <c r="G76" s="684"/>
      <c r="H76" s="684"/>
      <c r="I76" s="684"/>
      <c r="J76" s="684"/>
      <c r="K76" s="684"/>
      <c r="L76" s="684"/>
      <c r="M76" s="684"/>
      <c r="N76" s="683">
        <f t="shared" si="2"/>
        <v>0</v>
      </c>
      <c r="O76" s="1105">
        <f t="shared" si="3"/>
        <v>0</v>
      </c>
      <c r="R76" s="1045" t="s">
        <v>70</v>
      </c>
    </row>
    <row r="77" spans="1:21">
      <c r="A77" s="1007"/>
      <c r="B77" s="1315"/>
      <c r="C77" s="1018"/>
      <c r="D77" s="1018"/>
      <c r="E77" s="1078"/>
      <c r="F77" s="1077">
        <f t="shared" si="0"/>
        <v>0</v>
      </c>
      <c r="G77" s="684"/>
      <c r="H77" s="684"/>
      <c r="I77" s="684"/>
      <c r="J77" s="684"/>
      <c r="K77" s="684"/>
      <c r="L77" s="684"/>
      <c r="M77" s="684"/>
      <c r="N77" s="683">
        <f t="shared" si="2"/>
        <v>0</v>
      </c>
      <c r="O77" s="1105">
        <f t="shared" si="3"/>
        <v>0</v>
      </c>
      <c r="R77" s="1045" t="s">
        <v>71</v>
      </c>
    </row>
    <row r="78" spans="1:21">
      <c r="A78" s="1007"/>
      <c r="B78" s="1315"/>
      <c r="C78" s="1018"/>
      <c r="D78" s="1018"/>
      <c r="E78" s="1078"/>
      <c r="F78" s="1077">
        <f t="shared" si="0"/>
        <v>0</v>
      </c>
      <c r="G78" s="684"/>
      <c r="H78" s="684"/>
      <c r="I78" s="684"/>
      <c r="J78" s="684"/>
      <c r="K78" s="684"/>
      <c r="L78" s="684"/>
      <c r="M78" s="684"/>
      <c r="N78" s="683">
        <f t="shared" si="2"/>
        <v>0</v>
      </c>
      <c r="O78" s="1105">
        <f t="shared" si="3"/>
        <v>0</v>
      </c>
      <c r="R78" s="1045" t="s">
        <v>410</v>
      </c>
    </row>
    <row r="79" spans="1:21">
      <c r="A79" s="1007"/>
      <c r="B79" s="1315"/>
      <c r="C79" s="1018"/>
      <c r="D79" s="1018"/>
      <c r="E79" s="1078"/>
      <c r="F79" s="1077">
        <f t="shared" si="0"/>
        <v>0</v>
      </c>
      <c r="G79" s="684"/>
      <c r="H79" s="684"/>
      <c r="I79" s="684"/>
      <c r="J79" s="684"/>
      <c r="K79" s="684"/>
      <c r="L79" s="684"/>
      <c r="M79" s="684"/>
      <c r="N79" s="683">
        <f t="shared" si="2"/>
        <v>0</v>
      </c>
      <c r="O79" s="1105">
        <f t="shared" si="3"/>
        <v>0</v>
      </c>
      <c r="R79" s="1046"/>
    </row>
    <row r="80" spans="1:21">
      <c r="A80" s="1007"/>
      <c r="B80" s="1315"/>
      <c r="C80" s="1018"/>
      <c r="D80" s="1018"/>
      <c r="E80" s="1078"/>
      <c r="F80" s="1077">
        <f t="shared" si="0"/>
        <v>0</v>
      </c>
      <c r="G80" s="684"/>
      <c r="H80" s="684"/>
      <c r="I80" s="684"/>
      <c r="J80" s="684"/>
      <c r="K80" s="684"/>
      <c r="L80" s="684"/>
      <c r="M80" s="684"/>
      <c r="N80" s="683">
        <f t="shared" si="2"/>
        <v>0</v>
      </c>
      <c r="O80" s="1105">
        <f t="shared" si="3"/>
        <v>0</v>
      </c>
      <c r="R80" s="1044" t="s">
        <v>411</v>
      </c>
    </row>
    <row r="81" spans="1:18">
      <c r="A81" s="1007"/>
      <c r="B81" s="1315"/>
      <c r="C81" s="1018"/>
      <c r="D81" s="1018"/>
      <c r="E81" s="1078"/>
      <c r="F81" s="1077">
        <f t="shared" si="0"/>
        <v>0</v>
      </c>
      <c r="G81" s="684"/>
      <c r="H81" s="684"/>
      <c r="I81" s="684"/>
      <c r="J81" s="684"/>
      <c r="K81" s="684"/>
      <c r="L81" s="684"/>
      <c r="M81" s="684"/>
      <c r="N81" s="683">
        <f t="shared" si="2"/>
        <v>0</v>
      </c>
      <c r="O81" s="1105">
        <f t="shared" si="3"/>
        <v>0</v>
      </c>
      <c r="R81" s="1045" t="s">
        <v>388</v>
      </c>
    </row>
    <row r="82" spans="1:18">
      <c r="A82" s="1007"/>
      <c r="B82" s="1315"/>
      <c r="C82" s="1018"/>
      <c r="D82" s="1018"/>
      <c r="E82" s="1078"/>
      <c r="F82" s="1077">
        <f t="shared" si="0"/>
        <v>0</v>
      </c>
      <c r="G82" s="684"/>
      <c r="H82" s="684"/>
      <c r="I82" s="684"/>
      <c r="J82" s="684"/>
      <c r="K82" s="684"/>
      <c r="L82" s="684"/>
      <c r="M82" s="684"/>
      <c r="N82" s="683">
        <f t="shared" si="2"/>
        <v>0</v>
      </c>
      <c r="O82" s="1105">
        <f t="shared" si="3"/>
        <v>0</v>
      </c>
      <c r="R82" s="1045" t="s">
        <v>412</v>
      </c>
    </row>
    <row r="83" spans="1:18">
      <c r="A83" s="1007"/>
      <c r="B83" s="1315"/>
      <c r="C83" s="1018"/>
      <c r="D83" s="1018"/>
      <c r="E83" s="1078"/>
      <c r="F83" s="1077">
        <f t="shared" si="0"/>
        <v>0</v>
      </c>
      <c r="G83" s="684"/>
      <c r="H83" s="684"/>
      <c r="I83" s="684"/>
      <c r="J83" s="684"/>
      <c r="K83" s="684"/>
      <c r="L83" s="684"/>
      <c r="M83" s="684"/>
      <c r="N83" s="683">
        <f t="shared" si="2"/>
        <v>0</v>
      </c>
      <c r="O83" s="1105">
        <f t="shared" ref="O83:O106" si="4">IF(ISERROR(N83/B83),0,(N83/B83))</f>
        <v>0</v>
      </c>
      <c r="R83" s="1045"/>
    </row>
    <row r="84" spans="1:18">
      <c r="A84" s="1007"/>
      <c r="B84" s="1315"/>
      <c r="C84" s="1018"/>
      <c r="D84" s="1018"/>
      <c r="E84" s="1078"/>
      <c r="F84" s="1077">
        <f t="shared" si="0"/>
        <v>0</v>
      </c>
      <c r="G84" s="684"/>
      <c r="H84" s="684"/>
      <c r="I84" s="684"/>
      <c r="J84" s="684"/>
      <c r="K84" s="684"/>
      <c r="L84" s="684"/>
      <c r="M84" s="684"/>
      <c r="N84" s="683">
        <f t="shared" si="2"/>
        <v>0</v>
      </c>
      <c r="O84" s="1105">
        <f t="shared" si="4"/>
        <v>0</v>
      </c>
      <c r="R84" s="1045"/>
    </row>
    <row r="85" spans="1:18">
      <c r="A85" s="1007"/>
      <c r="B85" s="1315"/>
      <c r="C85" s="1018"/>
      <c r="D85" s="1018"/>
      <c r="E85" s="1078"/>
      <c r="F85" s="1077">
        <f t="shared" si="0"/>
        <v>0</v>
      </c>
      <c r="G85" s="684"/>
      <c r="H85" s="684"/>
      <c r="I85" s="684"/>
      <c r="J85" s="684"/>
      <c r="K85" s="684"/>
      <c r="L85" s="684"/>
      <c r="M85" s="684"/>
      <c r="N85" s="683">
        <f t="shared" ref="N85:N114" si="5">IFERROR(IF(A85&lt;&gt;"GfB",(SUM(F85:J85)*12+(L85+M85))*(100+$H$12+$H$13)%+(K85*12),(SUM(F85:J85)*12+(L85+M85))*(100+$H$15+$H$13)%+(K85*12)),0)</f>
        <v>0</v>
      </c>
      <c r="O85" s="1105">
        <f t="shared" si="4"/>
        <v>0</v>
      </c>
      <c r="R85" s="1045"/>
    </row>
    <row r="86" spans="1:18">
      <c r="A86" s="1007"/>
      <c r="B86" s="1315"/>
      <c r="C86" s="1018"/>
      <c r="D86" s="1018"/>
      <c r="E86" s="1078"/>
      <c r="F86" s="1077">
        <f t="shared" ref="F86:F115" si="6">IFERROR(E86*B86,"")</f>
        <v>0</v>
      </c>
      <c r="G86" s="684"/>
      <c r="H86" s="684"/>
      <c r="I86" s="684"/>
      <c r="J86" s="684"/>
      <c r="K86" s="684"/>
      <c r="L86" s="684"/>
      <c r="M86" s="684"/>
      <c r="N86" s="683">
        <f t="shared" si="5"/>
        <v>0</v>
      </c>
      <c r="O86" s="1105">
        <f t="shared" si="4"/>
        <v>0</v>
      </c>
      <c r="R86" s="1045"/>
    </row>
    <row r="87" spans="1:18">
      <c r="A87" s="1007"/>
      <c r="B87" s="1315"/>
      <c r="C87" s="1018"/>
      <c r="D87" s="1018"/>
      <c r="E87" s="1078"/>
      <c r="F87" s="1077">
        <f t="shared" si="6"/>
        <v>0</v>
      </c>
      <c r="G87" s="684"/>
      <c r="H87" s="684"/>
      <c r="I87" s="684"/>
      <c r="J87" s="684"/>
      <c r="K87" s="684"/>
      <c r="L87" s="684"/>
      <c r="M87" s="684"/>
      <c r="N87" s="683">
        <f t="shared" si="5"/>
        <v>0</v>
      </c>
      <c r="O87" s="1105">
        <f t="shared" si="4"/>
        <v>0</v>
      </c>
      <c r="R87" s="1045"/>
    </row>
    <row r="88" spans="1:18">
      <c r="A88" s="1007"/>
      <c r="B88" s="1315"/>
      <c r="C88" s="1018"/>
      <c r="D88" s="1018"/>
      <c r="E88" s="1078"/>
      <c r="F88" s="1077">
        <f t="shared" si="6"/>
        <v>0</v>
      </c>
      <c r="G88" s="684"/>
      <c r="H88" s="684"/>
      <c r="I88" s="684"/>
      <c r="J88" s="684"/>
      <c r="K88" s="684"/>
      <c r="L88" s="684"/>
      <c r="M88" s="684"/>
      <c r="N88" s="683">
        <f t="shared" si="5"/>
        <v>0</v>
      </c>
      <c r="O88" s="1105">
        <f t="shared" si="4"/>
        <v>0</v>
      </c>
      <c r="R88" s="1045"/>
    </row>
    <row r="89" spans="1:18">
      <c r="A89" s="1007"/>
      <c r="B89" s="1315"/>
      <c r="C89" s="1018"/>
      <c r="D89" s="1018"/>
      <c r="E89" s="1078"/>
      <c r="F89" s="1077">
        <f t="shared" si="6"/>
        <v>0</v>
      </c>
      <c r="G89" s="684"/>
      <c r="H89" s="684"/>
      <c r="I89" s="684"/>
      <c r="J89" s="684"/>
      <c r="K89" s="684"/>
      <c r="L89" s="684"/>
      <c r="M89" s="684"/>
      <c r="N89" s="683">
        <f t="shared" si="5"/>
        <v>0</v>
      </c>
      <c r="O89" s="1105">
        <f t="shared" si="4"/>
        <v>0</v>
      </c>
      <c r="R89" s="1045"/>
    </row>
    <row r="90" spans="1:18">
      <c r="A90" s="1007"/>
      <c r="B90" s="1315"/>
      <c r="C90" s="1018"/>
      <c r="D90" s="1018"/>
      <c r="E90" s="1078"/>
      <c r="F90" s="1077">
        <f t="shared" si="6"/>
        <v>0</v>
      </c>
      <c r="G90" s="684"/>
      <c r="H90" s="684"/>
      <c r="I90" s="684"/>
      <c r="J90" s="684"/>
      <c r="K90" s="684"/>
      <c r="L90" s="684"/>
      <c r="M90" s="684"/>
      <c r="N90" s="683">
        <f t="shared" si="5"/>
        <v>0</v>
      </c>
      <c r="O90" s="1105">
        <f t="shared" si="4"/>
        <v>0</v>
      </c>
      <c r="R90" s="1045"/>
    </row>
    <row r="91" spans="1:18">
      <c r="A91" s="1007"/>
      <c r="B91" s="1315"/>
      <c r="C91" s="1018"/>
      <c r="D91" s="1018"/>
      <c r="E91" s="1078"/>
      <c r="F91" s="1077">
        <f t="shared" si="6"/>
        <v>0</v>
      </c>
      <c r="G91" s="684"/>
      <c r="H91" s="684"/>
      <c r="I91" s="684"/>
      <c r="J91" s="684"/>
      <c r="K91" s="684"/>
      <c r="L91" s="684"/>
      <c r="M91" s="684"/>
      <c r="N91" s="683">
        <f t="shared" si="5"/>
        <v>0</v>
      </c>
      <c r="O91" s="1105">
        <f t="shared" si="4"/>
        <v>0</v>
      </c>
      <c r="R91" s="1045"/>
    </row>
    <row r="92" spans="1:18">
      <c r="A92" s="1007"/>
      <c r="B92" s="1315"/>
      <c r="C92" s="1018"/>
      <c r="D92" s="1018"/>
      <c r="E92" s="1078"/>
      <c r="F92" s="1077">
        <f t="shared" si="6"/>
        <v>0</v>
      </c>
      <c r="G92" s="684"/>
      <c r="H92" s="684"/>
      <c r="I92" s="684"/>
      <c r="J92" s="684"/>
      <c r="K92" s="684"/>
      <c r="L92" s="684"/>
      <c r="M92" s="684"/>
      <c r="N92" s="683">
        <f t="shared" si="5"/>
        <v>0</v>
      </c>
      <c r="O92" s="1105">
        <f t="shared" si="4"/>
        <v>0</v>
      </c>
      <c r="R92" s="1045"/>
    </row>
    <row r="93" spans="1:18">
      <c r="A93" s="1007"/>
      <c r="B93" s="1315"/>
      <c r="C93" s="1018"/>
      <c r="D93" s="1018"/>
      <c r="E93" s="1078"/>
      <c r="F93" s="1077">
        <f t="shared" si="6"/>
        <v>0</v>
      </c>
      <c r="G93" s="684"/>
      <c r="H93" s="684"/>
      <c r="I93" s="684"/>
      <c r="J93" s="684"/>
      <c r="K93" s="684"/>
      <c r="L93" s="684"/>
      <c r="M93" s="684"/>
      <c r="N93" s="683">
        <f t="shared" si="5"/>
        <v>0</v>
      </c>
      <c r="O93" s="1105">
        <f t="shared" si="4"/>
        <v>0</v>
      </c>
      <c r="R93" s="1045"/>
    </row>
    <row r="94" spans="1:18">
      <c r="A94" s="1007"/>
      <c r="B94" s="1315"/>
      <c r="C94" s="1018"/>
      <c r="D94" s="1018"/>
      <c r="E94" s="1078"/>
      <c r="F94" s="1077">
        <f t="shared" si="6"/>
        <v>0</v>
      </c>
      <c r="G94" s="684"/>
      <c r="H94" s="684"/>
      <c r="I94" s="684"/>
      <c r="J94" s="684"/>
      <c r="K94" s="684"/>
      <c r="L94" s="684"/>
      <c r="M94" s="684"/>
      <c r="N94" s="683">
        <f t="shared" si="5"/>
        <v>0</v>
      </c>
      <c r="O94" s="1105">
        <f t="shared" si="4"/>
        <v>0</v>
      </c>
      <c r="R94" s="1045"/>
    </row>
    <row r="95" spans="1:18">
      <c r="A95" s="1007"/>
      <c r="B95" s="1315"/>
      <c r="C95" s="1018"/>
      <c r="D95" s="1018"/>
      <c r="E95" s="1078"/>
      <c r="F95" s="1077">
        <f t="shared" si="6"/>
        <v>0</v>
      </c>
      <c r="G95" s="684"/>
      <c r="H95" s="684"/>
      <c r="I95" s="684"/>
      <c r="J95" s="684"/>
      <c r="K95" s="684"/>
      <c r="L95" s="684"/>
      <c r="M95" s="684"/>
      <c r="N95" s="683">
        <f t="shared" si="5"/>
        <v>0</v>
      </c>
      <c r="O95" s="1105">
        <f t="shared" si="4"/>
        <v>0</v>
      </c>
      <c r="R95" s="1045"/>
    </row>
    <row r="96" spans="1:18">
      <c r="A96" s="1007"/>
      <c r="B96" s="1315"/>
      <c r="C96" s="1018"/>
      <c r="D96" s="1018"/>
      <c r="E96" s="1078"/>
      <c r="F96" s="1077">
        <f t="shared" si="6"/>
        <v>0</v>
      </c>
      <c r="G96" s="684"/>
      <c r="H96" s="684"/>
      <c r="I96" s="684"/>
      <c r="J96" s="684"/>
      <c r="K96" s="684"/>
      <c r="L96" s="684"/>
      <c r="M96" s="684"/>
      <c r="N96" s="683">
        <f t="shared" si="5"/>
        <v>0</v>
      </c>
      <c r="O96" s="1105">
        <f t="shared" si="4"/>
        <v>0</v>
      </c>
      <c r="R96" s="1045"/>
    </row>
    <row r="97" spans="1:18">
      <c r="A97" s="1007"/>
      <c r="B97" s="1315"/>
      <c r="C97" s="1018"/>
      <c r="D97" s="1018"/>
      <c r="E97" s="1078"/>
      <c r="F97" s="1077">
        <f t="shared" si="6"/>
        <v>0</v>
      </c>
      <c r="G97" s="684"/>
      <c r="H97" s="684"/>
      <c r="I97" s="684"/>
      <c r="J97" s="684"/>
      <c r="K97" s="684"/>
      <c r="L97" s="684"/>
      <c r="M97" s="684"/>
      <c r="N97" s="683">
        <f t="shared" si="5"/>
        <v>0</v>
      </c>
      <c r="O97" s="1105">
        <f t="shared" si="4"/>
        <v>0</v>
      </c>
      <c r="R97" s="1045"/>
    </row>
    <row r="98" spans="1:18">
      <c r="A98" s="1007"/>
      <c r="B98" s="1315"/>
      <c r="C98" s="1018"/>
      <c r="D98" s="1018"/>
      <c r="E98" s="1078"/>
      <c r="F98" s="1077">
        <f t="shared" si="6"/>
        <v>0</v>
      </c>
      <c r="G98" s="684"/>
      <c r="H98" s="684"/>
      <c r="I98" s="684"/>
      <c r="J98" s="684"/>
      <c r="K98" s="684"/>
      <c r="L98" s="684"/>
      <c r="M98" s="684"/>
      <c r="N98" s="683">
        <f t="shared" si="5"/>
        <v>0</v>
      </c>
      <c r="O98" s="1105">
        <f t="shared" si="4"/>
        <v>0</v>
      </c>
      <c r="R98" s="1045"/>
    </row>
    <row r="99" spans="1:18">
      <c r="A99" s="1007"/>
      <c r="B99" s="1315"/>
      <c r="C99" s="1018"/>
      <c r="D99" s="1018"/>
      <c r="E99" s="1078"/>
      <c r="F99" s="1077">
        <f t="shared" si="6"/>
        <v>0</v>
      </c>
      <c r="G99" s="684"/>
      <c r="H99" s="684"/>
      <c r="I99" s="684"/>
      <c r="J99" s="684"/>
      <c r="K99" s="684"/>
      <c r="L99" s="684"/>
      <c r="M99" s="684"/>
      <c r="N99" s="683">
        <f t="shared" si="5"/>
        <v>0</v>
      </c>
      <c r="O99" s="1105">
        <f t="shared" si="4"/>
        <v>0</v>
      </c>
      <c r="R99" s="1045"/>
    </row>
    <row r="100" spans="1:18">
      <c r="A100" s="1007"/>
      <c r="B100" s="1315"/>
      <c r="C100" s="1018"/>
      <c r="D100" s="1018"/>
      <c r="E100" s="1078"/>
      <c r="F100" s="1077">
        <f t="shared" si="6"/>
        <v>0</v>
      </c>
      <c r="G100" s="684"/>
      <c r="H100" s="684"/>
      <c r="I100" s="684"/>
      <c r="J100" s="684"/>
      <c r="K100" s="684"/>
      <c r="L100" s="684"/>
      <c r="M100" s="684"/>
      <c r="N100" s="683">
        <f t="shared" si="5"/>
        <v>0</v>
      </c>
      <c r="O100" s="1105">
        <f t="shared" si="4"/>
        <v>0</v>
      </c>
      <c r="R100" s="1045"/>
    </row>
    <row r="101" spans="1:18">
      <c r="A101" s="1007"/>
      <c r="B101" s="1315"/>
      <c r="C101" s="1018"/>
      <c r="D101" s="1018"/>
      <c r="E101" s="1078"/>
      <c r="F101" s="1077">
        <f t="shared" si="6"/>
        <v>0</v>
      </c>
      <c r="G101" s="684"/>
      <c r="H101" s="684"/>
      <c r="I101" s="684"/>
      <c r="J101" s="684"/>
      <c r="K101" s="684"/>
      <c r="L101" s="684"/>
      <c r="M101" s="684"/>
      <c r="N101" s="683">
        <f t="shared" si="5"/>
        <v>0</v>
      </c>
      <c r="O101" s="1105">
        <f t="shared" si="4"/>
        <v>0</v>
      </c>
      <c r="R101" s="1045"/>
    </row>
    <row r="102" spans="1:18">
      <c r="A102" s="1007"/>
      <c r="B102" s="1315"/>
      <c r="C102" s="1018"/>
      <c r="D102" s="1018"/>
      <c r="E102" s="1078"/>
      <c r="F102" s="1077">
        <f t="shared" si="6"/>
        <v>0</v>
      </c>
      <c r="G102" s="684"/>
      <c r="H102" s="684"/>
      <c r="I102" s="684"/>
      <c r="J102" s="684"/>
      <c r="K102" s="684"/>
      <c r="L102" s="684"/>
      <c r="M102" s="684"/>
      <c r="N102" s="683">
        <f t="shared" si="5"/>
        <v>0</v>
      </c>
      <c r="O102" s="1105">
        <f t="shared" si="4"/>
        <v>0</v>
      </c>
      <c r="R102" s="1045"/>
    </row>
    <row r="103" spans="1:18">
      <c r="A103" s="1007"/>
      <c r="B103" s="1315"/>
      <c r="C103" s="1018"/>
      <c r="D103" s="1018"/>
      <c r="E103" s="1078"/>
      <c r="F103" s="1077">
        <f t="shared" si="6"/>
        <v>0</v>
      </c>
      <c r="G103" s="684"/>
      <c r="H103" s="684"/>
      <c r="I103" s="684"/>
      <c r="J103" s="684"/>
      <c r="K103" s="684"/>
      <c r="L103" s="684"/>
      <c r="M103" s="684"/>
      <c r="N103" s="683">
        <f t="shared" si="5"/>
        <v>0</v>
      </c>
      <c r="O103" s="1105">
        <f t="shared" si="4"/>
        <v>0</v>
      </c>
      <c r="R103" s="1045"/>
    </row>
    <row r="104" spans="1:18">
      <c r="A104" s="1007"/>
      <c r="B104" s="1315"/>
      <c r="C104" s="1018"/>
      <c r="D104" s="1018"/>
      <c r="E104" s="1078"/>
      <c r="F104" s="1077">
        <f t="shared" si="6"/>
        <v>0</v>
      </c>
      <c r="G104" s="684"/>
      <c r="H104" s="684"/>
      <c r="I104" s="684"/>
      <c r="J104" s="684"/>
      <c r="K104" s="684"/>
      <c r="L104" s="684"/>
      <c r="M104" s="684"/>
      <c r="N104" s="683">
        <f t="shared" si="5"/>
        <v>0</v>
      </c>
      <c r="O104" s="1105">
        <f t="shared" si="4"/>
        <v>0</v>
      </c>
      <c r="R104" s="1045"/>
    </row>
    <row r="105" spans="1:18">
      <c r="A105" s="1007"/>
      <c r="B105" s="1315"/>
      <c r="C105" s="1018"/>
      <c r="D105" s="1018"/>
      <c r="E105" s="1078"/>
      <c r="F105" s="1077">
        <f t="shared" si="6"/>
        <v>0</v>
      </c>
      <c r="G105" s="684"/>
      <c r="H105" s="684"/>
      <c r="I105" s="684"/>
      <c r="J105" s="684"/>
      <c r="K105" s="684"/>
      <c r="L105" s="684"/>
      <c r="M105" s="684"/>
      <c r="N105" s="683">
        <f t="shared" si="5"/>
        <v>0</v>
      </c>
      <c r="O105" s="1105">
        <f t="shared" si="4"/>
        <v>0</v>
      </c>
      <c r="R105" s="1045"/>
    </row>
    <row r="106" spans="1:18">
      <c r="A106" s="1007"/>
      <c r="B106" s="1315"/>
      <c r="C106" s="1018"/>
      <c r="D106" s="1018"/>
      <c r="E106" s="1078"/>
      <c r="F106" s="1077">
        <f t="shared" si="6"/>
        <v>0</v>
      </c>
      <c r="G106" s="684"/>
      <c r="H106" s="684"/>
      <c r="I106" s="684"/>
      <c r="J106" s="684"/>
      <c r="K106" s="684"/>
      <c r="L106" s="684"/>
      <c r="M106" s="684"/>
      <c r="N106" s="683">
        <f t="shared" si="5"/>
        <v>0</v>
      </c>
      <c r="O106" s="1105">
        <f t="shared" si="4"/>
        <v>0</v>
      </c>
      <c r="R106" s="1045"/>
    </row>
    <row r="107" spans="1:18">
      <c r="A107" s="1007"/>
      <c r="B107" s="1315"/>
      <c r="C107" s="1018"/>
      <c r="D107" s="1018"/>
      <c r="E107" s="1078"/>
      <c r="F107" s="1077">
        <f t="shared" si="6"/>
        <v>0</v>
      </c>
      <c r="G107" s="684"/>
      <c r="H107" s="684"/>
      <c r="I107" s="684"/>
      <c r="J107" s="684"/>
      <c r="K107" s="684"/>
      <c r="L107" s="684"/>
      <c r="M107" s="684"/>
      <c r="N107" s="683">
        <f t="shared" si="5"/>
        <v>0</v>
      </c>
      <c r="O107" s="1105">
        <f t="shared" si="3"/>
        <v>0</v>
      </c>
      <c r="R107" s="1046"/>
    </row>
    <row r="108" spans="1:18">
      <c r="A108" s="1007"/>
      <c r="B108" s="1315"/>
      <c r="C108" s="1018"/>
      <c r="D108" s="1018"/>
      <c r="E108" s="1078"/>
      <c r="F108" s="1077">
        <f t="shared" si="6"/>
        <v>0</v>
      </c>
      <c r="G108" s="684"/>
      <c r="H108" s="684"/>
      <c r="I108" s="684"/>
      <c r="J108" s="684"/>
      <c r="K108" s="684"/>
      <c r="L108" s="684"/>
      <c r="M108" s="684"/>
      <c r="N108" s="683">
        <f t="shared" si="5"/>
        <v>0</v>
      </c>
      <c r="O108" s="1105">
        <f t="shared" si="3"/>
        <v>0</v>
      </c>
    </row>
    <row r="109" spans="1:18">
      <c r="A109" s="1007"/>
      <c r="B109" s="1315"/>
      <c r="C109" s="1018"/>
      <c r="D109" s="1018"/>
      <c r="E109" s="1078"/>
      <c r="F109" s="1077">
        <f t="shared" si="6"/>
        <v>0</v>
      </c>
      <c r="G109" s="684"/>
      <c r="H109" s="684"/>
      <c r="I109" s="684"/>
      <c r="J109" s="684"/>
      <c r="K109" s="684"/>
      <c r="L109" s="684"/>
      <c r="M109" s="684"/>
      <c r="N109" s="683">
        <f t="shared" si="5"/>
        <v>0</v>
      </c>
      <c r="O109" s="1105">
        <f t="shared" si="3"/>
        <v>0</v>
      </c>
    </row>
    <row r="110" spans="1:18">
      <c r="A110" s="1008"/>
      <c r="B110" s="1315"/>
      <c r="C110" s="1018"/>
      <c r="D110" s="1018"/>
      <c r="E110" s="1078"/>
      <c r="F110" s="1077">
        <f t="shared" si="6"/>
        <v>0</v>
      </c>
      <c r="G110" s="684"/>
      <c r="H110" s="684"/>
      <c r="I110" s="684"/>
      <c r="J110" s="684"/>
      <c r="K110" s="684"/>
      <c r="L110" s="684"/>
      <c r="M110" s="684"/>
      <c r="N110" s="683">
        <f t="shared" si="5"/>
        <v>0</v>
      </c>
      <c r="O110" s="1105">
        <f t="shared" si="3"/>
        <v>0</v>
      </c>
    </row>
    <row r="111" spans="1:18">
      <c r="A111" s="1007"/>
      <c r="B111" s="1315"/>
      <c r="C111" s="1018"/>
      <c r="D111" s="1018"/>
      <c r="E111" s="1078"/>
      <c r="F111" s="1077">
        <f t="shared" si="6"/>
        <v>0</v>
      </c>
      <c r="G111" s="684"/>
      <c r="H111" s="684"/>
      <c r="I111" s="684"/>
      <c r="J111" s="684"/>
      <c r="K111" s="684"/>
      <c r="L111" s="684"/>
      <c r="M111" s="684"/>
      <c r="N111" s="683">
        <f t="shared" si="5"/>
        <v>0</v>
      </c>
      <c r="O111" s="1105">
        <f t="shared" si="3"/>
        <v>0</v>
      </c>
    </row>
    <row r="112" spans="1:18">
      <c r="A112" s="1008"/>
      <c r="B112" s="1315"/>
      <c r="C112" s="1018"/>
      <c r="D112" s="1018"/>
      <c r="E112" s="1078"/>
      <c r="F112" s="1077">
        <f t="shared" si="6"/>
        <v>0</v>
      </c>
      <c r="G112" s="684"/>
      <c r="H112" s="684"/>
      <c r="I112" s="684"/>
      <c r="J112" s="684"/>
      <c r="K112" s="684"/>
      <c r="L112" s="684"/>
      <c r="M112" s="684"/>
      <c r="N112" s="683">
        <f t="shared" si="5"/>
        <v>0</v>
      </c>
      <c r="O112" s="1105">
        <f t="shared" si="3"/>
        <v>0</v>
      </c>
    </row>
    <row r="113" spans="1:20">
      <c r="A113" s="1007"/>
      <c r="B113" s="1315"/>
      <c r="C113" s="1018"/>
      <c r="D113" s="1018"/>
      <c r="E113" s="1078"/>
      <c r="F113" s="1077">
        <f t="shared" si="6"/>
        <v>0</v>
      </c>
      <c r="G113" s="684"/>
      <c r="H113" s="684"/>
      <c r="I113" s="684"/>
      <c r="J113" s="684"/>
      <c r="K113" s="684"/>
      <c r="L113" s="684"/>
      <c r="M113" s="684"/>
      <c r="N113" s="683">
        <f t="shared" si="5"/>
        <v>0</v>
      </c>
      <c r="O113" s="1105">
        <f t="shared" si="3"/>
        <v>0</v>
      </c>
      <c r="T113" s="840" t="s">
        <v>542</v>
      </c>
    </row>
    <row r="114" spans="1:20">
      <c r="A114" s="1007"/>
      <c r="B114" s="1315"/>
      <c r="C114" s="1018"/>
      <c r="D114" s="1018"/>
      <c r="E114" s="1078"/>
      <c r="F114" s="1077">
        <f t="shared" si="6"/>
        <v>0</v>
      </c>
      <c r="G114" s="684"/>
      <c r="H114" s="684"/>
      <c r="I114" s="684"/>
      <c r="J114" s="684"/>
      <c r="K114" s="684"/>
      <c r="L114" s="684"/>
      <c r="M114" s="684"/>
      <c r="N114" s="683">
        <f t="shared" si="5"/>
        <v>0</v>
      </c>
      <c r="O114" s="1105">
        <f t="shared" si="3"/>
        <v>0</v>
      </c>
      <c r="T114" s="840" t="s">
        <v>543</v>
      </c>
    </row>
    <row r="115" spans="1:20">
      <c r="A115" s="1007"/>
      <c r="B115" s="1315"/>
      <c r="C115" s="1018"/>
      <c r="D115" s="1018"/>
      <c r="E115" s="1078"/>
      <c r="F115" s="1077">
        <f t="shared" si="6"/>
        <v>0</v>
      </c>
      <c r="G115" s="684"/>
      <c r="H115" s="684"/>
      <c r="I115" s="684"/>
      <c r="J115" s="684"/>
      <c r="K115" s="684"/>
      <c r="L115" s="684"/>
      <c r="M115" s="684"/>
      <c r="N115" s="683">
        <f t="shared" ref="N115" si="7">IFERROR(IF(A115&lt;&gt;"GfB",(SUM(F115:J115)*12+(L115+M115))*(100+$H$12+$H$13)%+(K115*12),(SUM(F115:J115)*12+(L115+M115))*(100+$H$15+$H$13)%+(K115*12)),0)</f>
        <v>0</v>
      </c>
      <c r="O115" s="1105">
        <f t="shared" si="3"/>
        <v>0</v>
      </c>
    </row>
    <row r="116" spans="1:20">
      <c r="A116" s="1106" t="s">
        <v>537</v>
      </c>
      <c r="B116" s="1000"/>
      <c r="C116" s="1404"/>
      <c r="D116" s="1405"/>
      <c r="E116" s="1405"/>
      <c r="F116" s="1405"/>
      <c r="G116" s="1405"/>
      <c r="H116" s="1405"/>
      <c r="I116" s="1405"/>
      <c r="J116" s="1405"/>
      <c r="K116" s="1405"/>
      <c r="L116" s="1405"/>
      <c r="M116" s="1406"/>
      <c r="N116" s="1325"/>
      <c r="O116" s="1105">
        <f t="shared" si="3"/>
        <v>0</v>
      </c>
      <c r="T116" s="840" t="s">
        <v>538</v>
      </c>
    </row>
    <row r="117" spans="1:20">
      <c r="A117" s="1106" t="s">
        <v>537</v>
      </c>
      <c r="B117" s="1000"/>
      <c r="C117" s="1407"/>
      <c r="D117" s="1408"/>
      <c r="E117" s="1408"/>
      <c r="F117" s="1408"/>
      <c r="G117" s="1408"/>
      <c r="H117" s="1408"/>
      <c r="I117" s="1408"/>
      <c r="J117" s="1408"/>
      <c r="K117" s="1408"/>
      <c r="L117" s="1408"/>
      <c r="M117" s="1409"/>
      <c r="N117" s="1325"/>
      <c r="O117" s="1105">
        <f t="shared" si="3"/>
        <v>0</v>
      </c>
      <c r="T117" s="840" t="s">
        <v>539</v>
      </c>
    </row>
    <row r="118" spans="1:20">
      <c r="A118" s="1106" t="s">
        <v>537</v>
      </c>
      <c r="B118" s="1000"/>
      <c r="C118" s="1407"/>
      <c r="D118" s="1408"/>
      <c r="E118" s="1408"/>
      <c r="F118" s="1408"/>
      <c r="G118" s="1408"/>
      <c r="H118" s="1408"/>
      <c r="I118" s="1408"/>
      <c r="J118" s="1408"/>
      <c r="K118" s="1408"/>
      <c r="L118" s="1408"/>
      <c r="M118" s="1409"/>
      <c r="N118" s="1325"/>
      <c r="O118" s="1105">
        <f t="shared" si="3"/>
        <v>0</v>
      </c>
      <c r="T118" s="840" t="s">
        <v>556</v>
      </c>
    </row>
    <row r="119" spans="1:20">
      <c r="A119" s="1106" t="s">
        <v>537</v>
      </c>
      <c r="B119" s="1000"/>
      <c r="C119" s="1407"/>
      <c r="D119" s="1408"/>
      <c r="E119" s="1408"/>
      <c r="F119" s="1408"/>
      <c r="G119" s="1408"/>
      <c r="H119" s="1408"/>
      <c r="I119" s="1408"/>
      <c r="J119" s="1408"/>
      <c r="K119" s="1408"/>
      <c r="L119" s="1408"/>
      <c r="M119" s="1409"/>
      <c r="N119" s="1325"/>
      <c r="O119" s="1105">
        <f t="shared" si="3"/>
        <v>0</v>
      </c>
    </row>
    <row r="120" spans="1:20" ht="13.5" thickBot="1">
      <c r="A120" s="1106" t="s">
        <v>537</v>
      </c>
      <c r="B120" s="1000"/>
      <c r="C120" s="1410"/>
      <c r="D120" s="1411"/>
      <c r="E120" s="1411"/>
      <c r="F120" s="1411"/>
      <c r="G120" s="1411"/>
      <c r="H120" s="1411"/>
      <c r="I120" s="1411"/>
      <c r="J120" s="1411"/>
      <c r="K120" s="1411"/>
      <c r="L120" s="1411"/>
      <c r="M120" s="1412"/>
      <c r="N120" s="1325"/>
      <c r="O120" s="1105">
        <f t="shared" si="3"/>
        <v>0</v>
      </c>
    </row>
    <row r="121" spans="1:20" ht="13.5" thickBot="1">
      <c r="A121" s="1125" t="s">
        <v>628</v>
      </c>
      <c r="B121" s="764">
        <f>SUM(B21:B120)</f>
        <v>0</v>
      </c>
      <c r="C121" s="686"/>
      <c r="D121" s="686"/>
      <c r="E121" s="686"/>
      <c r="F121" s="997">
        <f>IFERROR(SUM(F21:F115)/($B$121-SUM($B$116:$B$120)),0)</f>
        <v>0</v>
      </c>
      <c r="G121" s="997">
        <f t="shared" ref="G121:M121" si="8">IFERROR(SUM(G21:G115)/($B$121-SUM($B$116:$B$120)),0)</f>
        <v>0</v>
      </c>
      <c r="H121" s="997">
        <f t="shared" si="8"/>
        <v>0</v>
      </c>
      <c r="I121" s="997">
        <f t="shared" si="8"/>
        <v>0</v>
      </c>
      <c r="J121" s="997">
        <f t="shared" si="8"/>
        <v>0</v>
      </c>
      <c r="K121" s="997">
        <f t="shared" si="8"/>
        <v>0</v>
      </c>
      <c r="L121" s="1001">
        <f t="shared" si="8"/>
        <v>0</v>
      </c>
      <c r="M121" s="997">
        <f t="shared" si="8"/>
        <v>0</v>
      </c>
      <c r="N121" s="998">
        <f>SUM(N21:N120)</f>
        <v>0</v>
      </c>
      <c r="O121" s="1003">
        <f>IFERROR(SUM(N121/B121),0)</f>
        <v>0</v>
      </c>
      <c r="T121" s="1004"/>
    </row>
    <row r="122" spans="1:20" ht="14.25" customHeight="1">
      <c r="A122" s="1107"/>
      <c r="B122" s="687"/>
      <c r="C122" s="687"/>
      <c r="D122" s="687"/>
      <c r="E122" s="687"/>
      <c r="F122" s="687"/>
      <c r="G122" s="687"/>
      <c r="H122" s="687"/>
      <c r="I122" s="687"/>
      <c r="J122" s="687"/>
      <c r="K122" s="687"/>
      <c r="L122" s="687"/>
      <c r="M122" s="687"/>
      <c r="N122" s="1093"/>
      <c r="O122" s="1108"/>
      <c r="T122" s="840" t="s">
        <v>544</v>
      </c>
    </row>
    <row r="123" spans="1:20">
      <c r="A123" s="1124" t="s">
        <v>627</v>
      </c>
      <c r="B123" s="687"/>
      <c r="C123" s="687"/>
      <c r="D123" s="687"/>
      <c r="E123" s="687"/>
      <c r="F123" s="687"/>
      <c r="G123" s="687"/>
      <c r="H123" s="1109" t="str">
        <f>IF($H$13&gt;0,"Beiträge zur Altersvorsorge NICHT in Spalte bAV, betriebliche Zulagen erfassen","")</f>
        <v/>
      </c>
      <c r="I123" s="1110"/>
      <c r="J123" s="1110"/>
      <c r="K123" s="1110"/>
      <c r="L123" s="1110"/>
      <c r="M123" s="1110"/>
      <c r="N123" s="1110"/>
      <c r="O123" s="1111"/>
    </row>
    <row r="124" spans="1:20">
      <c r="A124" s="1008"/>
      <c r="B124" s="1136"/>
      <c r="C124" s="1019"/>
      <c r="D124" s="1019"/>
      <c r="E124" s="684"/>
      <c r="F124" s="1077">
        <f t="shared" ref="F124:F187" si="9">IFERROR(E124*B124,"")</f>
        <v>0</v>
      </c>
      <c r="G124" s="684"/>
      <c r="H124" s="684"/>
      <c r="I124" s="684"/>
      <c r="J124" s="684"/>
      <c r="K124" s="684"/>
      <c r="L124" s="684"/>
      <c r="M124" s="684"/>
      <c r="N124" s="688">
        <f t="shared" ref="N124:N187" si="10">IFERROR(IF(A124&lt;&gt;"GfB",(SUM(F124:J124)*12+(L124+M124))*(100+$H$12+$H$13)%+(K124*12),(SUM(F124:J124)*12+(L124+M124))*(100+$H$15+$H$13)%+(K124*12)),0)</f>
        <v>0</v>
      </c>
      <c r="O124" s="1112">
        <f>IF(ISERROR(N124/B124),0,(N124/B124))</f>
        <v>0</v>
      </c>
    </row>
    <row r="125" spans="1:20">
      <c r="A125" s="1007"/>
      <c r="B125" s="1136"/>
      <c r="C125" s="1019"/>
      <c r="D125" s="1019"/>
      <c r="E125" s="684"/>
      <c r="F125" s="1077">
        <f t="shared" si="9"/>
        <v>0</v>
      </c>
      <c r="G125" s="684"/>
      <c r="H125" s="684"/>
      <c r="I125" s="684"/>
      <c r="J125" s="684"/>
      <c r="K125" s="684"/>
      <c r="L125" s="684"/>
      <c r="M125" s="684"/>
      <c r="N125" s="688">
        <f t="shared" si="10"/>
        <v>0</v>
      </c>
      <c r="O125" s="1112">
        <f t="shared" ref="O125:O222" si="11">IF(ISERROR(N125/B125),0,(N125/B125))</f>
        <v>0</v>
      </c>
      <c r="T125" s="1185" t="s">
        <v>751</v>
      </c>
    </row>
    <row r="126" spans="1:20">
      <c r="A126" s="1007"/>
      <c r="B126" s="1136"/>
      <c r="C126" s="1019"/>
      <c r="D126" s="1019"/>
      <c r="E126" s="684"/>
      <c r="F126" s="1077">
        <f t="shared" si="9"/>
        <v>0</v>
      </c>
      <c r="G126" s="684"/>
      <c r="H126" s="684"/>
      <c r="I126" s="684"/>
      <c r="J126" s="684"/>
      <c r="K126" s="684"/>
      <c r="L126" s="684"/>
      <c r="M126" s="684"/>
      <c r="N126" s="688">
        <f t="shared" si="10"/>
        <v>0</v>
      </c>
      <c r="O126" s="1112">
        <f t="shared" si="11"/>
        <v>0</v>
      </c>
    </row>
    <row r="127" spans="1:20">
      <c r="A127" s="1007"/>
      <c r="B127" s="1136"/>
      <c r="C127" s="1019"/>
      <c r="D127" s="1019"/>
      <c r="E127" s="684"/>
      <c r="F127" s="1077">
        <f t="shared" si="9"/>
        <v>0</v>
      </c>
      <c r="G127" s="684"/>
      <c r="H127" s="684"/>
      <c r="I127" s="684"/>
      <c r="J127" s="684"/>
      <c r="K127" s="684"/>
      <c r="L127" s="684"/>
      <c r="M127" s="684"/>
      <c r="N127" s="688">
        <f t="shared" si="10"/>
        <v>0</v>
      </c>
      <c r="O127" s="1112">
        <f t="shared" si="11"/>
        <v>0</v>
      </c>
    </row>
    <row r="128" spans="1:20">
      <c r="A128" s="1007"/>
      <c r="B128" s="1136"/>
      <c r="C128" s="1019"/>
      <c r="D128" s="1019"/>
      <c r="E128" s="684"/>
      <c r="F128" s="1077">
        <f t="shared" si="9"/>
        <v>0</v>
      </c>
      <c r="G128" s="684"/>
      <c r="H128" s="684"/>
      <c r="I128" s="684"/>
      <c r="J128" s="684"/>
      <c r="K128" s="684"/>
      <c r="L128" s="684"/>
      <c r="M128" s="684"/>
      <c r="N128" s="688">
        <f t="shared" si="10"/>
        <v>0</v>
      </c>
      <c r="O128" s="1112">
        <f t="shared" si="11"/>
        <v>0</v>
      </c>
    </row>
    <row r="129" spans="1:21">
      <c r="A129" s="1007"/>
      <c r="B129" s="1136"/>
      <c r="C129" s="1019"/>
      <c r="D129" s="1019"/>
      <c r="E129" s="684"/>
      <c r="F129" s="1077">
        <f t="shared" si="9"/>
        <v>0</v>
      </c>
      <c r="G129" s="684"/>
      <c r="H129" s="684"/>
      <c r="I129" s="684"/>
      <c r="J129" s="684"/>
      <c r="K129" s="684"/>
      <c r="L129" s="684"/>
      <c r="M129" s="684"/>
      <c r="N129" s="688">
        <f t="shared" si="10"/>
        <v>0</v>
      </c>
      <c r="O129" s="1112">
        <f t="shared" si="11"/>
        <v>0</v>
      </c>
    </row>
    <row r="130" spans="1:21">
      <c r="A130" s="1007"/>
      <c r="B130" s="1136"/>
      <c r="C130" s="1019"/>
      <c r="D130" s="1019"/>
      <c r="E130" s="684"/>
      <c r="F130" s="1077">
        <f t="shared" si="9"/>
        <v>0</v>
      </c>
      <c r="G130" s="684"/>
      <c r="H130" s="684"/>
      <c r="I130" s="684"/>
      <c r="J130" s="684"/>
      <c r="K130" s="684"/>
      <c r="L130" s="684"/>
      <c r="M130" s="684"/>
      <c r="N130" s="688">
        <f t="shared" si="10"/>
        <v>0</v>
      </c>
      <c r="O130" s="1112">
        <f t="shared" si="11"/>
        <v>0</v>
      </c>
    </row>
    <row r="131" spans="1:21">
      <c r="A131" s="1007"/>
      <c r="B131" s="1136"/>
      <c r="C131" s="1019"/>
      <c r="D131" s="1019"/>
      <c r="E131" s="684"/>
      <c r="F131" s="1077">
        <f t="shared" si="9"/>
        <v>0</v>
      </c>
      <c r="G131" s="684"/>
      <c r="H131" s="684"/>
      <c r="I131" s="684"/>
      <c r="J131" s="684"/>
      <c r="K131" s="684"/>
      <c r="L131" s="684"/>
      <c r="M131" s="684"/>
      <c r="N131" s="688">
        <f t="shared" si="10"/>
        <v>0</v>
      </c>
      <c r="O131" s="1112">
        <f t="shared" si="11"/>
        <v>0</v>
      </c>
    </row>
    <row r="132" spans="1:21">
      <c r="A132" s="1007"/>
      <c r="B132" s="1136"/>
      <c r="C132" s="1019"/>
      <c r="D132" s="1019"/>
      <c r="E132" s="684"/>
      <c r="F132" s="1077">
        <f t="shared" si="9"/>
        <v>0</v>
      </c>
      <c r="G132" s="684"/>
      <c r="H132" s="684"/>
      <c r="I132" s="684"/>
      <c r="J132" s="684"/>
      <c r="K132" s="684"/>
      <c r="L132" s="684"/>
      <c r="M132" s="684"/>
      <c r="N132" s="688">
        <f t="shared" si="10"/>
        <v>0</v>
      </c>
      <c r="O132" s="1112">
        <f t="shared" si="11"/>
        <v>0</v>
      </c>
    </row>
    <row r="133" spans="1:21">
      <c r="A133" s="1007"/>
      <c r="B133" s="1136"/>
      <c r="C133" s="1019"/>
      <c r="D133" s="1019"/>
      <c r="E133" s="684"/>
      <c r="F133" s="1077">
        <f t="shared" si="9"/>
        <v>0</v>
      </c>
      <c r="G133" s="684"/>
      <c r="H133" s="684"/>
      <c r="I133" s="684"/>
      <c r="J133" s="684"/>
      <c r="K133" s="684"/>
      <c r="L133" s="684"/>
      <c r="M133" s="684"/>
      <c r="N133" s="688">
        <f t="shared" si="10"/>
        <v>0</v>
      </c>
      <c r="O133" s="1112">
        <f t="shared" si="11"/>
        <v>0</v>
      </c>
    </row>
    <row r="134" spans="1:21">
      <c r="A134" s="1007"/>
      <c r="B134" s="1136"/>
      <c r="C134" s="1019"/>
      <c r="D134" s="1019"/>
      <c r="E134" s="684"/>
      <c r="F134" s="1077">
        <f t="shared" si="9"/>
        <v>0</v>
      </c>
      <c r="G134" s="684"/>
      <c r="H134" s="684"/>
      <c r="I134" s="684"/>
      <c r="J134" s="684"/>
      <c r="K134" s="684"/>
      <c r="L134" s="684"/>
      <c r="M134" s="684"/>
      <c r="N134" s="688">
        <f t="shared" si="10"/>
        <v>0</v>
      </c>
      <c r="O134" s="1112">
        <f t="shared" si="11"/>
        <v>0</v>
      </c>
    </row>
    <row r="135" spans="1:21">
      <c r="A135" s="1007"/>
      <c r="B135" s="1136"/>
      <c r="C135" s="1019"/>
      <c r="D135" s="1019"/>
      <c r="E135" s="684"/>
      <c r="F135" s="1077">
        <f t="shared" si="9"/>
        <v>0</v>
      </c>
      <c r="G135" s="684"/>
      <c r="H135" s="684"/>
      <c r="I135" s="684"/>
      <c r="J135" s="684"/>
      <c r="K135" s="684"/>
      <c r="L135" s="684"/>
      <c r="M135" s="684"/>
      <c r="N135" s="688">
        <f t="shared" si="10"/>
        <v>0</v>
      </c>
      <c r="O135" s="1112">
        <f t="shared" si="11"/>
        <v>0</v>
      </c>
    </row>
    <row r="136" spans="1:21">
      <c r="A136" s="1007"/>
      <c r="B136" s="1136"/>
      <c r="C136" s="1019"/>
      <c r="D136" s="1019"/>
      <c r="E136" s="684"/>
      <c r="F136" s="1077">
        <f t="shared" si="9"/>
        <v>0</v>
      </c>
      <c r="G136" s="684"/>
      <c r="H136" s="684"/>
      <c r="I136" s="684"/>
      <c r="J136" s="684"/>
      <c r="K136" s="684"/>
      <c r="L136" s="684"/>
      <c r="M136" s="684"/>
      <c r="N136" s="688">
        <f t="shared" si="10"/>
        <v>0</v>
      </c>
      <c r="O136" s="1112">
        <f t="shared" si="11"/>
        <v>0</v>
      </c>
    </row>
    <row r="137" spans="1:21">
      <c r="A137" s="1007"/>
      <c r="B137" s="1136"/>
      <c r="C137" s="1019"/>
      <c r="D137" s="1019"/>
      <c r="E137" s="684"/>
      <c r="F137" s="1077">
        <f t="shared" si="9"/>
        <v>0</v>
      </c>
      <c r="G137" s="684"/>
      <c r="H137" s="684"/>
      <c r="I137" s="684"/>
      <c r="J137" s="684"/>
      <c r="K137" s="684"/>
      <c r="L137" s="684"/>
      <c r="M137" s="684"/>
      <c r="N137" s="688">
        <f t="shared" si="10"/>
        <v>0</v>
      </c>
      <c r="O137" s="1112">
        <f t="shared" si="11"/>
        <v>0</v>
      </c>
      <c r="U137" s="840"/>
    </row>
    <row r="138" spans="1:21">
      <c r="A138" s="1007"/>
      <c r="B138" s="1136"/>
      <c r="C138" s="1019"/>
      <c r="D138" s="1019"/>
      <c r="E138" s="684"/>
      <c r="F138" s="1077">
        <f t="shared" si="9"/>
        <v>0</v>
      </c>
      <c r="G138" s="684"/>
      <c r="H138" s="684"/>
      <c r="I138" s="684"/>
      <c r="J138" s="684"/>
      <c r="K138" s="684"/>
      <c r="L138" s="684"/>
      <c r="M138" s="684"/>
      <c r="N138" s="688">
        <f t="shared" si="10"/>
        <v>0</v>
      </c>
      <c r="O138" s="1112">
        <f t="shared" ref="O138:O201" si="12">IF(ISERROR(N138/B138),0,(N138/B138))</f>
        <v>0</v>
      </c>
      <c r="U138" s="840"/>
    </row>
    <row r="139" spans="1:21">
      <c r="A139" s="1007"/>
      <c r="B139" s="1136"/>
      <c r="C139" s="1019"/>
      <c r="D139" s="1019"/>
      <c r="E139" s="684"/>
      <c r="F139" s="1077">
        <f t="shared" si="9"/>
        <v>0</v>
      </c>
      <c r="G139" s="684"/>
      <c r="H139" s="684"/>
      <c r="I139" s="684"/>
      <c r="J139" s="684"/>
      <c r="K139" s="684"/>
      <c r="L139" s="684"/>
      <c r="M139" s="684"/>
      <c r="N139" s="688">
        <f t="shared" si="10"/>
        <v>0</v>
      </c>
      <c r="O139" s="1112">
        <f t="shared" si="12"/>
        <v>0</v>
      </c>
      <c r="U139" s="840"/>
    </row>
    <row r="140" spans="1:21">
      <c r="A140" s="1007"/>
      <c r="B140" s="1136"/>
      <c r="C140" s="1019"/>
      <c r="D140" s="1019"/>
      <c r="E140" s="684"/>
      <c r="F140" s="1077">
        <f t="shared" si="9"/>
        <v>0</v>
      </c>
      <c r="G140" s="684"/>
      <c r="H140" s="684"/>
      <c r="I140" s="684"/>
      <c r="J140" s="684"/>
      <c r="K140" s="684"/>
      <c r="L140" s="684"/>
      <c r="M140" s="684"/>
      <c r="N140" s="688">
        <f t="shared" si="10"/>
        <v>0</v>
      </c>
      <c r="O140" s="1112">
        <f t="shared" si="12"/>
        <v>0</v>
      </c>
      <c r="U140" s="840"/>
    </row>
    <row r="141" spans="1:21">
      <c r="A141" s="1007"/>
      <c r="B141" s="1136"/>
      <c r="C141" s="1019"/>
      <c r="D141" s="1019"/>
      <c r="E141" s="684"/>
      <c r="F141" s="1077">
        <f t="shared" si="9"/>
        <v>0</v>
      </c>
      <c r="G141" s="684"/>
      <c r="H141" s="684"/>
      <c r="I141" s="684"/>
      <c r="J141" s="684"/>
      <c r="K141" s="684"/>
      <c r="L141" s="684"/>
      <c r="M141" s="684"/>
      <c r="N141" s="688">
        <f t="shared" si="10"/>
        <v>0</v>
      </c>
      <c r="O141" s="1112">
        <f t="shared" si="12"/>
        <v>0</v>
      </c>
      <c r="U141" s="840"/>
    </row>
    <row r="142" spans="1:21">
      <c r="A142" s="1007"/>
      <c r="B142" s="1136"/>
      <c r="C142" s="1019"/>
      <c r="D142" s="1019"/>
      <c r="E142" s="684"/>
      <c r="F142" s="1077">
        <f t="shared" si="9"/>
        <v>0</v>
      </c>
      <c r="G142" s="684"/>
      <c r="H142" s="684"/>
      <c r="I142" s="684"/>
      <c r="J142" s="684"/>
      <c r="K142" s="684"/>
      <c r="L142" s="684"/>
      <c r="M142" s="684"/>
      <c r="N142" s="688">
        <f t="shared" si="10"/>
        <v>0</v>
      </c>
      <c r="O142" s="1112">
        <f t="shared" si="12"/>
        <v>0</v>
      </c>
      <c r="U142" s="840"/>
    </row>
    <row r="143" spans="1:21">
      <c r="A143" s="1007"/>
      <c r="B143" s="1136"/>
      <c r="C143" s="1019"/>
      <c r="D143" s="1019"/>
      <c r="E143" s="684"/>
      <c r="F143" s="1077">
        <f t="shared" si="9"/>
        <v>0</v>
      </c>
      <c r="G143" s="684"/>
      <c r="H143" s="684"/>
      <c r="I143" s="684"/>
      <c r="J143" s="684"/>
      <c r="K143" s="684"/>
      <c r="L143" s="684"/>
      <c r="M143" s="684"/>
      <c r="N143" s="688">
        <f t="shared" si="10"/>
        <v>0</v>
      </c>
      <c r="O143" s="1112">
        <f t="shared" si="12"/>
        <v>0</v>
      </c>
      <c r="U143" s="840"/>
    </row>
    <row r="144" spans="1:21">
      <c r="A144" s="1007"/>
      <c r="B144" s="1136"/>
      <c r="C144" s="1019"/>
      <c r="D144" s="1019"/>
      <c r="E144" s="684"/>
      <c r="F144" s="1077">
        <f t="shared" si="9"/>
        <v>0</v>
      </c>
      <c r="G144" s="684"/>
      <c r="H144" s="684"/>
      <c r="I144" s="684"/>
      <c r="J144" s="684"/>
      <c r="K144" s="684"/>
      <c r="L144" s="684"/>
      <c r="M144" s="684"/>
      <c r="N144" s="688">
        <f t="shared" si="10"/>
        <v>0</v>
      </c>
      <c r="O144" s="1112">
        <f t="shared" si="12"/>
        <v>0</v>
      </c>
      <c r="U144" s="840"/>
    </row>
    <row r="145" spans="1:21">
      <c r="A145" s="1007"/>
      <c r="B145" s="1136"/>
      <c r="C145" s="1019"/>
      <c r="D145" s="1019"/>
      <c r="E145" s="684"/>
      <c r="F145" s="1077">
        <f t="shared" si="9"/>
        <v>0</v>
      </c>
      <c r="G145" s="684"/>
      <c r="H145" s="684"/>
      <c r="I145" s="684"/>
      <c r="J145" s="684"/>
      <c r="K145" s="684"/>
      <c r="L145" s="684"/>
      <c r="M145" s="684"/>
      <c r="N145" s="688">
        <f t="shared" si="10"/>
        <v>0</v>
      </c>
      <c r="O145" s="1112">
        <f t="shared" si="12"/>
        <v>0</v>
      </c>
      <c r="U145" s="840"/>
    </row>
    <row r="146" spans="1:21">
      <c r="A146" s="1007"/>
      <c r="B146" s="1136"/>
      <c r="C146" s="1019"/>
      <c r="D146" s="1019"/>
      <c r="E146" s="684"/>
      <c r="F146" s="1077">
        <f t="shared" si="9"/>
        <v>0</v>
      </c>
      <c r="G146" s="684"/>
      <c r="H146" s="684"/>
      <c r="I146" s="684"/>
      <c r="J146" s="684"/>
      <c r="K146" s="684"/>
      <c r="L146" s="684"/>
      <c r="M146" s="684"/>
      <c r="N146" s="688">
        <f t="shared" si="10"/>
        <v>0</v>
      </c>
      <c r="O146" s="1112">
        <f t="shared" si="12"/>
        <v>0</v>
      </c>
      <c r="U146" s="840"/>
    </row>
    <row r="147" spans="1:21">
      <c r="A147" s="1007"/>
      <c r="B147" s="1136"/>
      <c r="C147" s="1019"/>
      <c r="D147" s="1019"/>
      <c r="E147" s="684"/>
      <c r="F147" s="1077">
        <f t="shared" si="9"/>
        <v>0</v>
      </c>
      <c r="G147" s="684"/>
      <c r="H147" s="684"/>
      <c r="I147" s="684"/>
      <c r="J147" s="684"/>
      <c r="K147" s="684"/>
      <c r="L147" s="684"/>
      <c r="M147" s="684"/>
      <c r="N147" s="688">
        <f t="shared" si="10"/>
        <v>0</v>
      </c>
      <c r="O147" s="1112">
        <f t="shared" si="12"/>
        <v>0</v>
      </c>
      <c r="T147" s="1135"/>
      <c r="U147" s="840"/>
    </row>
    <row r="148" spans="1:21">
      <c r="A148" s="1007"/>
      <c r="B148" s="1136"/>
      <c r="C148" s="1019"/>
      <c r="D148" s="1019"/>
      <c r="E148" s="684"/>
      <c r="F148" s="1077">
        <f t="shared" si="9"/>
        <v>0</v>
      </c>
      <c r="G148" s="684"/>
      <c r="H148" s="684"/>
      <c r="I148" s="684"/>
      <c r="J148" s="684"/>
      <c r="K148" s="684"/>
      <c r="L148" s="684"/>
      <c r="M148" s="684"/>
      <c r="N148" s="688">
        <f t="shared" si="10"/>
        <v>0</v>
      </c>
      <c r="O148" s="1112">
        <f t="shared" si="12"/>
        <v>0</v>
      </c>
      <c r="U148" s="840"/>
    </row>
    <row r="149" spans="1:21">
      <c r="A149" s="1007"/>
      <c r="B149" s="1136"/>
      <c r="C149" s="1019"/>
      <c r="D149" s="1019"/>
      <c r="E149" s="684"/>
      <c r="F149" s="1077">
        <f t="shared" si="9"/>
        <v>0</v>
      </c>
      <c r="G149" s="684"/>
      <c r="H149" s="684"/>
      <c r="I149" s="684"/>
      <c r="J149" s="684"/>
      <c r="K149" s="684"/>
      <c r="L149" s="684"/>
      <c r="M149" s="684"/>
      <c r="N149" s="688">
        <f t="shared" si="10"/>
        <v>0</v>
      </c>
      <c r="O149" s="1112">
        <f t="shared" si="12"/>
        <v>0</v>
      </c>
      <c r="U149" s="840"/>
    </row>
    <row r="150" spans="1:21">
      <c r="A150" s="1007"/>
      <c r="B150" s="1136"/>
      <c r="C150" s="1019"/>
      <c r="D150" s="1019"/>
      <c r="E150" s="684"/>
      <c r="F150" s="1077">
        <f t="shared" si="9"/>
        <v>0</v>
      </c>
      <c r="G150" s="684"/>
      <c r="H150" s="684"/>
      <c r="I150" s="684"/>
      <c r="J150" s="684"/>
      <c r="K150" s="684"/>
      <c r="L150" s="684"/>
      <c r="M150" s="684"/>
      <c r="N150" s="688">
        <f t="shared" si="10"/>
        <v>0</v>
      </c>
      <c r="O150" s="1112">
        <f t="shared" si="12"/>
        <v>0</v>
      </c>
      <c r="U150" s="840"/>
    </row>
    <row r="151" spans="1:21">
      <c r="A151" s="1007"/>
      <c r="B151" s="1136"/>
      <c r="C151" s="1019"/>
      <c r="D151" s="1019"/>
      <c r="E151" s="684"/>
      <c r="F151" s="1077">
        <f t="shared" si="9"/>
        <v>0</v>
      </c>
      <c r="G151" s="684"/>
      <c r="H151" s="684"/>
      <c r="I151" s="684"/>
      <c r="J151" s="684"/>
      <c r="K151" s="684"/>
      <c r="L151" s="684"/>
      <c r="M151" s="684"/>
      <c r="N151" s="688">
        <f t="shared" si="10"/>
        <v>0</v>
      </c>
      <c r="O151" s="1112">
        <f t="shared" si="12"/>
        <v>0</v>
      </c>
      <c r="U151" s="840"/>
    </row>
    <row r="152" spans="1:21">
      <c r="A152" s="1007"/>
      <c r="B152" s="1136"/>
      <c r="C152" s="1019"/>
      <c r="D152" s="1019"/>
      <c r="E152" s="684"/>
      <c r="F152" s="1077">
        <f t="shared" si="9"/>
        <v>0</v>
      </c>
      <c r="G152" s="684"/>
      <c r="H152" s="684"/>
      <c r="I152" s="684"/>
      <c r="J152" s="684"/>
      <c r="K152" s="684"/>
      <c r="L152" s="684"/>
      <c r="M152" s="684"/>
      <c r="N152" s="688">
        <f t="shared" si="10"/>
        <v>0</v>
      </c>
      <c r="O152" s="1112">
        <f t="shared" si="12"/>
        <v>0</v>
      </c>
      <c r="U152" s="840"/>
    </row>
    <row r="153" spans="1:21">
      <c r="A153" s="1007"/>
      <c r="B153" s="1136"/>
      <c r="C153" s="1019"/>
      <c r="D153" s="1019"/>
      <c r="E153" s="684"/>
      <c r="F153" s="1077">
        <f t="shared" si="9"/>
        <v>0</v>
      </c>
      <c r="G153" s="684"/>
      <c r="H153" s="684"/>
      <c r="I153" s="684"/>
      <c r="J153" s="684"/>
      <c r="K153" s="684"/>
      <c r="L153" s="684"/>
      <c r="M153" s="684"/>
      <c r="N153" s="688">
        <f t="shared" si="10"/>
        <v>0</v>
      </c>
      <c r="O153" s="1112">
        <f t="shared" si="12"/>
        <v>0</v>
      </c>
      <c r="U153" s="840"/>
    </row>
    <row r="154" spans="1:21">
      <c r="A154" s="1007"/>
      <c r="B154" s="1136"/>
      <c r="C154" s="1019"/>
      <c r="D154" s="1019"/>
      <c r="E154" s="684"/>
      <c r="F154" s="1077">
        <f t="shared" si="9"/>
        <v>0</v>
      </c>
      <c r="G154" s="684"/>
      <c r="H154" s="684"/>
      <c r="I154" s="684"/>
      <c r="J154" s="684"/>
      <c r="K154" s="684"/>
      <c r="L154" s="684"/>
      <c r="M154" s="684"/>
      <c r="N154" s="688">
        <f t="shared" si="10"/>
        <v>0</v>
      </c>
      <c r="O154" s="1112">
        <f t="shared" si="12"/>
        <v>0</v>
      </c>
      <c r="U154" s="840"/>
    </row>
    <row r="155" spans="1:21">
      <c r="A155" s="1007"/>
      <c r="B155" s="1136"/>
      <c r="C155" s="1019"/>
      <c r="D155" s="1019"/>
      <c r="E155" s="684"/>
      <c r="F155" s="1077">
        <f t="shared" si="9"/>
        <v>0</v>
      </c>
      <c r="G155" s="684"/>
      <c r="H155" s="684"/>
      <c r="I155" s="684"/>
      <c r="J155" s="684"/>
      <c r="K155" s="684"/>
      <c r="L155" s="684"/>
      <c r="M155" s="684"/>
      <c r="N155" s="688">
        <f t="shared" si="10"/>
        <v>0</v>
      </c>
      <c r="O155" s="1112">
        <f t="shared" si="12"/>
        <v>0</v>
      </c>
      <c r="U155" s="840"/>
    </row>
    <row r="156" spans="1:21">
      <c r="A156" s="1007"/>
      <c r="B156" s="1136"/>
      <c r="C156" s="1019"/>
      <c r="D156" s="1019"/>
      <c r="E156" s="684"/>
      <c r="F156" s="1077">
        <f t="shared" si="9"/>
        <v>0</v>
      </c>
      <c r="G156" s="684"/>
      <c r="H156" s="684"/>
      <c r="I156" s="684"/>
      <c r="J156" s="684"/>
      <c r="K156" s="684"/>
      <c r="L156" s="684"/>
      <c r="M156" s="684"/>
      <c r="N156" s="688">
        <f t="shared" si="10"/>
        <v>0</v>
      </c>
      <c r="O156" s="1112">
        <f t="shared" si="12"/>
        <v>0</v>
      </c>
      <c r="U156" s="840"/>
    </row>
    <row r="157" spans="1:21">
      <c r="A157" s="1007"/>
      <c r="B157" s="1136"/>
      <c r="C157" s="1019"/>
      <c r="D157" s="1019"/>
      <c r="E157" s="684"/>
      <c r="F157" s="1077">
        <f t="shared" si="9"/>
        <v>0</v>
      </c>
      <c r="G157" s="684"/>
      <c r="H157" s="684"/>
      <c r="I157" s="684"/>
      <c r="J157" s="684"/>
      <c r="K157" s="684"/>
      <c r="L157" s="684"/>
      <c r="M157" s="684"/>
      <c r="N157" s="688">
        <f t="shared" si="10"/>
        <v>0</v>
      </c>
      <c r="O157" s="1112">
        <f t="shared" si="12"/>
        <v>0</v>
      </c>
      <c r="U157" s="840"/>
    </row>
    <row r="158" spans="1:21">
      <c r="A158" s="1007"/>
      <c r="B158" s="1136"/>
      <c r="C158" s="1019"/>
      <c r="D158" s="1019"/>
      <c r="E158" s="684"/>
      <c r="F158" s="1077">
        <f t="shared" si="9"/>
        <v>0</v>
      </c>
      <c r="G158" s="684"/>
      <c r="H158" s="684"/>
      <c r="I158" s="684"/>
      <c r="J158" s="684"/>
      <c r="K158" s="684"/>
      <c r="L158" s="684"/>
      <c r="M158" s="684"/>
      <c r="N158" s="688">
        <f t="shared" si="10"/>
        <v>0</v>
      </c>
      <c r="O158" s="1112">
        <f t="shared" si="12"/>
        <v>0</v>
      </c>
      <c r="U158" s="840"/>
    </row>
    <row r="159" spans="1:21">
      <c r="A159" s="1007"/>
      <c r="B159" s="1136"/>
      <c r="C159" s="1019"/>
      <c r="D159" s="1019"/>
      <c r="E159" s="684"/>
      <c r="F159" s="1077">
        <f t="shared" si="9"/>
        <v>0</v>
      </c>
      <c r="G159" s="684"/>
      <c r="H159" s="684"/>
      <c r="I159" s="684"/>
      <c r="J159" s="684"/>
      <c r="K159" s="684"/>
      <c r="L159" s="684"/>
      <c r="M159" s="684"/>
      <c r="N159" s="688">
        <f t="shared" si="10"/>
        <v>0</v>
      </c>
      <c r="O159" s="1112">
        <f t="shared" si="12"/>
        <v>0</v>
      </c>
      <c r="U159" s="840"/>
    </row>
    <row r="160" spans="1:21">
      <c r="A160" s="1007"/>
      <c r="B160" s="1136"/>
      <c r="C160" s="1019"/>
      <c r="D160" s="1019"/>
      <c r="E160" s="684"/>
      <c r="F160" s="1077">
        <f t="shared" si="9"/>
        <v>0</v>
      </c>
      <c r="G160" s="684"/>
      <c r="H160" s="684"/>
      <c r="I160" s="684"/>
      <c r="J160" s="684"/>
      <c r="K160" s="684"/>
      <c r="L160" s="684"/>
      <c r="M160" s="684"/>
      <c r="N160" s="688">
        <f t="shared" si="10"/>
        <v>0</v>
      </c>
      <c r="O160" s="1112">
        <f t="shared" si="12"/>
        <v>0</v>
      </c>
      <c r="U160" s="840"/>
    </row>
    <row r="161" spans="1:21">
      <c r="A161" s="1007"/>
      <c r="B161" s="1136"/>
      <c r="C161" s="1019"/>
      <c r="D161" s="1019"/>
      <c r="E161" s="684"/>
      <c r="F161" s="1077">
        <f t="shared" si="9"/>
        <v>0</v>
      </c>
      <c r="G161" s="684"/>
      <c r="H161" s="684"/>
      <c r="I161" s="684"/>
      <c r="J161" s="684"/>
      <c r="K161" s="684"/>
      <c r="L161" s="684"/>
      <c r="M161" s="684"/>
      <c r="N161" s="688">
        <f t="shared" si="10"/>
        <v>0</v>
      </c>
      <c r="O161" s="1112">
        <f t="shared" si="12"/>
        <v>0</v>
      </c>
      <c r="U161" s="840"/>
    </row>
    <row r="162" spans="1:21">
      <c r="A162" s="1007"/>
      <c r="B162" s="1136"/>
      <c r="C162" s="1019"/>
      <c r="D162" s="1019"/>
      <c r="E162" s="684"/>
      <c r="F162" s="1077">
        <f t="shared" si="9"/>
        <v>0</v>
      </c>
      <c r="G162" s="684"/>
      <c r="H162" s="684"/>
      <c r="I162" s="684"/>
      <c r="J162" s="684"/>
      <c r="K162" s="684"/>
      <c r="L162" s="684"/>
      <c r="M162" s="684"/>
      <c r="N162" s="688">
        <f t="shared" si="10"/>
        <v>0</v>
      </c>
      <c r="O162" s="1112">
        <f t="shared" si="12"/>
        <v>0</v>
      </c>
      <c r="U162" s="840"/>
    </row>
    <row r="163" spans="1:21">
      <c r="A163" s="1007"/>
      <c r="B163" s="1136"/>
      <c r="C163" s="1019"/>
      <c r="D163" s="1019"/>
      <c r="E163" s="684"/>
      <c r="F163" s="1077">
        <f t="shared" si="9"/>
        <v>0</v>
      </c>
      <c r="G163" s="684"/>
      <c r="H163" s="684"/>
      <c r="I163" s="684"/>
      <c r="J163" s="684"/>
      <c r="K163" s="684"/>
      <c r="L163" s="684"/>
      <c r="M163" s="684"/>
      <c r="N163" s="688">
        <f t="shared" si="10"/>
        <v>0</v>
      </c>
      <c r="O163" s="1112">
        <f t="shared" si="12"/>
        <v>0</v>
      </c>
      <c r="U163" s="840"/>
    </row>
    <row r="164" spans="1:21">
      <c r="A164" s="1007"/>
      <c r="B164" s="1136"/>
      <c r="C164" s="1019"/>
      <c r="D164" s="1019"/>
      <c r="E164" s="684"/>
      <c r="F164" s="1077">
        <f t="shared" si="9"/>
        <v>0</v>
      </c>
      <c r="G164" s="684"/>
      <c r="H164" s="684"/>
      <c r="I164" s="684"/>
      <c r="J164" s="684"/>
      <c r="K164" s="684"/>
      <c r="L164" s="684"/>
      <c r="M164" s="684"/>
      <c r="N164" s="688">
        <f t="shared" si="10"/>
        <v>0</v>
      </c>
      <c r="O164" s="1112">
        <f t="shared" si="12"/>
        <v>0</v>
      </c>
      <c r="U164" s="840"/>
    </row>
    <row r="165" spans="1:21">
      <c r="A165" s="1007"/>
      <c r="B165" s="1136"/>
      <c r="C165" s="1019"/>
      <c r="D165" s="1019"/>
      <c r="E165" s="684"/>
      <c r="F165" s="1077">
        <f t="shared" si="9"/>
        <v>0</v>
      </c>
      <c r="G165" s="684"/>
      <c r="H165" s="684"/>
      <c r="I165" s="684"/>
      <c r="J165" s="684"/>
      <c r="K165" s="684"/>
      <c r="L165" s="684"/>
      <c r="M165" s="684"/>
      <c r="N165" s="688">
        <f t="shared" si="10"/>
        <v>0</v>
      </c>
      <c r="O165" s="1112">
        <f t="shared" si="12"/>
        <v>0</v>
      </c>
      <c r="U165" s="840"/>
    </row>
    <row r="166" spans="1:21">
      <c r="A166" s="1007"/>
      <c r="B166" s="1136"/>
      <c r="C166" s="1019"/>
      <c r="D166" s="1019"/>
      <c r="E166" s="684"/>
      <c r="F166" s="1077">
        <f t="shared" si="9"/>
        <v>0</v>
      </c>
      <c r="G166" s="684"/>
      <c r="H166" s="684"/>
      <c r="I166" s="684"/>
      <c r="J166" s="684"/>
      <c r="K166" s="684"/>
      <c r="L166" s="684"/>
      <c r="M166" s="684"/>
      <c r="N166" s="688">
        <f t="shared" si="10"/>
        <v>0</v>
      </c>
      <c r="O166" s="1112">
        <f t="shared" si="12"/>
        <v>0</v>
      </c>
      <c r="U166" s="840"/>
    </row>
    <row r="167" spans="1:21">
      <c r="A167" s="1007"/>
      <c r="B167" s="1136"/>
      <c r="C167" s="1019"/>
      <c r="D167" s="1019"/>
      <c r="E167" s="684"/>
      <c r="F167" s="1077">
        <f t="shared" si="9"/>
        <v>0</v>
      </c>
      <c r="G167" s="684"/>
      <c r="H167" s="684"/>
      <c r="I167" s="684"/>
      <c r="J167" s="684"/>
      <c r="K167" s="684"/>
      <c r="L167" s="684"/>
      <c r="M167" s="684"/>
      <c r="N167" s="688">
        <f t="shared" si="10"/>
        <v>0</v>
      </c>
      <c r="O167" s="1112">
        <f t="shared" si="12"/>
        <v>0</v>
      </c>
      <c r="U167" s="840"/>
    </row>
    <row r="168" spans="1:21">
      <c r="A168" s="1007"/>
      <c r="B168" s="1136"/>
      <c r="C168" s="1019"/>
      <c r="D168" s="1019"/>
      <c r="E168" s="684"/>
      <c r="F168" s="1077">
        <f t="shared" si="9"/>
        <v>0</v>
      </c>
      <c r="G168" s="684"/>
      <c r="H168" s="684"/>
      <c r="I168" s="684"/>
      <c r="J168" s="684"/>
      <c r="K168" s="684"/>
      <c r="L168" s="684"/>
      <c r="M168" s="684"/>
      <c r="N168" s="688">
        <f t="shared" si="10"/>
        <v>0</v>
      </c>
      <c r="O168" s="1112">
        <f t="shared" si="12"/>
        <v>0</v>
      </c>
      <c r="U168" s="840"/>
    </row>
    <row r="169" spans="1:21">
      <c r="A169" s="1007"/>
      <c r="B169" s="1136"/>
      <c r="C169" s="1019"/>
      <c r="D169" s="1019"/>
      <c r="E169" s="684"/>
      <c r="F169" s="1077">
        <f t="shared" si="9"/>
        <v>0</v>
      </c>
      <c r="G169" s="684"/>
      <c r="H169" s="684"/>
      <c r="I169" s="684"/>
      <c r="J169" s="684"/>
      <c r="K169" s="684"/>
      <c r="L169" s="684"/>
      <c r="M169" s="684"/>
      <c r="N169" s="688">
        <f t="shared" si="10"/>
        <v>0</v>
      </c>
      <c r="O169" s="1112">
        <f t="shared" si="12"/>
        <v>0</v>
      </c>
      <c r="U169" s="840"/>
    </row>
    <row r="170" spans="1:21">
      <c r="A170" s="1007"/>
      <c r="B170" s="1136"/>
      <c r="C170" s="1019"/>
      <c r="D170" s="1019"/>
      <c r="E170" s="684"/>
      <c r="F170" s="1077">
        <f t="shared" si="9"/>
        <v>0</v>
      </c>
      <c r="G170" s="684"/>
      <c r="H170" s="684"/>
      <c r="I170" s="684"/>
      <c r="J170" s="684"/>
      <c r="K170" s="684"/>
      <c r="L170" s="684"/>
      <c r="M170" s="684"/>
      <c r="N170" s="688">
        <f t="shared" si="10"/>
        <v>0</v>
      </c>
      <c r="O170" s="1112">
        <f t="shared" si="12"/>
        <v>0</v>
      </c>
      <c r="U170" s="840"/>
    </row>
    <row r="171" spans="1:21">
      <c r="A171" s="1007"/>
      <c r="B171" s="1136"/>
      <c r="C171" s="1019"/>
      <c r="D171" s="1019"/>
      <c r="E171" s="684"/>
      <c r="F171" s="1077">
        <f t="shared" si="9"/>
        <v>0</v>
      </c>
      <c r="G171" s="684"/>
      <c r="H171" s="684"/>
      <c r="I171" s="684"/>
      <c r="J171" s="684"/>
      <c r="K171" s="684"/>
      <c r="L171" s="684"/>
      <c r="M171" s="684"/>
      <c r="N171" s="688">
        <f t="shared" si="10"/>
        <v>0</v>
      </c>
      <c r="O171" s="1112">
        <f t="shared" si="12"/>
        <v>0</v>
      </c>
      <c r="U171" s="840"/>
    </row>
    <row r="172" spans="1:21">
      <c r="A172" s="1007"/>
      <c r="B172" s="1136"/>
      <c r="C172" s="1019"/>
      <c r="D172" s="1019"/>
      <c r="E172" s="684"/>
      <c r="F172" s="1077">
        <f t="shared" si="9"/>
        <v>0</v>
      </c>
      <c r="G172" s="684"/>
      <c r="H172" s="684"/>
      <c r="I172" s="684"/>
      <c r="J172" s="684"/>
      <c r="K172" s="684"/>
      <c r="L172" s="684"/>
      <c r="M172" s="684"/>
      <c r="N172" s="688">
        <f t="shared" si="10"/>
        <v>0</v>
      </c>
      <c r="O172" s="1112">
        <f t="shared" si="12"/>
        <v>0</v>
      </c>
      <c r="U172" s="840"/>
    </row>
    <row r="173" spans="1:21">
      <c r="A173" s="1007"/>
      <c r="B173" s="1136"/>
      <c r="C173" s="1019"/>
      <c r="D173" s="1019"/>
      <c r="E173" s="684"/>
      <c r="F173" s="1077">
        <f t="shared" si="9"/>
        <v>0</v>
      </c>
      <c r="G173" s="684"/>
      <c r="H173" s="684"/>
      <c r="I173" s="684"/>
      <c r="J173" s="684"/>
      <c r="K173" s="684"/>
      <c r="L173" s="684"/>
      <c r="M173" s="684"/>
      <c r="N173" s="688">
        <f t="shared" si="10"/>
        <v>0</v>
      </c>
      <c r="O173" s="1112">
        <f t="shared" si="12"/>
        <v>0</v>
      </c>
      <c r="U173" s="840"/>
    </row>
    <row r="174" spans="1:21">
      <c r="A174" s="1007"/>
      <c r="B174" s="1136"/>
      <c r="C174" s="1019"/>
      <c r="D174" s="1019"/>
      <c r="E174" s="684"/>
      <c r="F174" s="1077">
        <f t="shared" si="9"/>
        <v>0</v>
      </c>
      <c r="G174" s="684"/>
      <c r="H174" s="684"/>
      <c r="I174" s="684"/>
      <c r="J174" s="684"/>
      <c r="K174" s="684"/>
      <c r="L174" s="684"/>
      <c r="M174" s="684"/>
      <c r="N174" s="688">
        <f t="shared" si="10"/>
        <v>0</v>
      </c>
      <c r="O174" s="1112">
        <f t="shared" si="12"/>
        <v>0</v>
      </c>
      <c r="U174" s="840"/>
    </row>
    <row r="175" spans="1:21">
      <c r="A175" s="1007"/>
      <c r="B175" s="1136"/>
      <c r="C175" s="1019"/>
      <c r="D175" s="1019"/>
      <c r="E175" s="684"/>
      <c r="F175" s="1077">
        <f t="shared" si="9"/>
        <v>0</v>
      </c>
      <c r="G175" s="684"/>
      <c r="H175" s="684"/>
      <c r="I175" s="684"/>
      <c r="J175" s="684"/>
      <c r="K175" s="684"/>
      <c r="L175" s="684"/>
      <c r="M175" s="684"/>
      <c r="N175" s="688">
        <f t="shared" si="10"/>
        <v>0</v>
      </c>
      <c r="O175" s="1112">
        <f t="shared" si="12"/>
        <v>0</v>
      </c>
      <c r="U175" s="840"/>
    </row>
    <row r="176" spans="1:21">
      <c r="A176" s="1007"/>
      <c r="B176" s="1136"/>
      <c r="C176" s="1019"/>
      <c r="D176" s="1019"/>
      <c r="E176" s="684"/>
      <c r="F176" s="1077">
        <f t="shared" si="9"/>
        <v>0</v>
      </c>
      <c r="G176" s="684"/>
      <c r="H176" s="684"/>
      <c r="I176" s="684"/>
      <c r="J176" s="684"/>
      <c r="K176" s="684"/>
      <c r="L176" s="684"/>
      <c r="M176" s="684"/>
      <c r="N176" s="688">
        <f t="shared" si="10"/>
        <v>0</v>
      </c>
      <c r="O176" s="1112">
        <f t="shared" si="12"/>
        <v>0</v>
      </c>
      <c r="U176" s="840"/>
    </row>
    <row r="177" spans="1:21">
      <c r="A177" s="1007"/>
      <c r="B177" s="1136"/>
      <c r="C177" s="1019"/>
      <c r="D177" s="1019"/>
      <c r="E177" s="684"/>
      <c r="F177" s="1077">
        <f t="shared" si="9"/>
        <v>0</v>
      </c>
      <c r="G177" s="684"/>
      <c r="H177" s="684"/>
      <c r="I177" s="684"/>
      <c r="J177" s="684"/>
      <c r="K177" s="684"/>
      <c r="L177" s="684"/>
      <c r="M177" s="684"/>
      <c r="N177" s="688">
        <f t="shared" si="10"/>
        <v>0</v>
      </c>
      <c r="O177" s="1112">
        <f t="shared" si="12"/>
        <v>0</v>
      </c>
      <c r="U177" s="840"/>
    </row>
    <row r="178" spans="1:21">
      <c r="A178" s="1007"/>
      <c r="B178" s="1136"/>
      <c r="C178" s="1019"/>
      <c r="D178" s="1019"/>
      <c r="E178" s="684"/>
      <c r="F178" s="1077">
        <f t="shared" si="9"/>
        <v>0</v>
      </c>
      <c r="G178" s="684"/>
      <c r="H178" s="684"/>
      <c r="I178" s="684"/>
      <c r="J178" s="684"/>
      <c r="K178" s="684"/>
      <c r="L178" s="684"/>
      <c r="M178" s="684"/>
      <c r="N178" s="688">
        <f t="shared" si="10"/>
        <v>0</v>
      </c>
      <c r="O178" s="1112">
        <f t="shared" si="12"/>
        <v>0</v>
      </c>
      <c r="U178" s="840"/>
    </row>
    <row r="179" spans="1:21">
      <c r="A179" s="1007"/>
      <c r="B179" s="1136"/>
      <c r="C179" s="1019"/>
      <c r="D179" s="1019"/>
      <c r="E179" s="684"/>
      <c r="F179" s="1077">
        <f t="shared" si="9"/>
        <v>0</v>
      </c>
      <c r="G179" s="684"/>
      <c r="H179" s="684"/>
      <c r="I179" s="684"/>
      <c r="J179" s="684"/>
      <c r="K179" s="684"/>
      <c r="L179" s="684"/>
      <c r="M179" s="684"/>
      <c r="N179" s="688">
        <f t="shared" si="10"/>
        <v>0</v>
      </c>
      <c r="O179" s="1112">
        <f t="shared" si="12"/>
        <v>0</v>
      </c>
      <c r="U179" s="840"/>
    </row>
    <row r="180" spans="1:21">
      <c r="A180" s="1007"/>
      <c r="B180" s="1136"/>
      <c r="C180" s="1019"/>
      <c r="D180" s="1019"/>
      <c r="E180" s="684"/>
      <c r="F180" s="1077">
        <f t="shared" si="9"/>
        <v>0</v>
      </c>
      <c r="G180" s="684"/>
      <c r="H180" s="684"/>
      <c r="I180" s="684"/>
      <c r="J180" s="684"/>
      <c r="K180" s="684"/>
      <c r="L180" s="684"/>
      <c r="M180" s="684"/>
      <c r="N180" s="688">
        <f t="shared" si="10"/>
        <v>0</v>
      </c>
      <c r="O180" s="1112">
        <f t="shared" si="12"/>
        <v>0</v>
      </c>
      <c r="U180" s="840"/>
    </row>
    <row r="181" spans="1:21">
      <c r="A181" s="1007"/>
      <c r="B181" s="1136"/>
      <c r="C181" s="1019"/>
      <c r="D181" s="1019"/>
      <c r="E181" s="684"/>
      <c r="F181" s="1077">
        <f t="shared" si="9"/>
        <v>0</v>
      </c>
      <c r="G181" s="684"/>
      <c r="H181" s="684"/>
      <c r="I181" s="684"/>
      <c r="J181" s="684"/>
      <c r="K181" s="684"/>
      <c r="L181" s="684"/>
      <c r="M181" s="684"/>
      <c r="N181" s="688">
        <f t="shared" si="10"/>
        <v>0</v>
      </c>
      <c r="O181" s="1112">
        <f t="shared" si="12"/>
        <v>0</v>
      </c>
      <c r="U181" s="840"/>
    </row>
    <row r="182" spans="1:21">
      <c r="A182" s="1007"/>
      <c r="B182" s="1136"/>
      <c r="C182" s="1019"/>
      <c r="D182" s="1019"/>
      <c r="E182" s="684"/>
      <c r="F182" s="1077">
        <f t="shared" si="9"/>
        <v>0</v>
      </c>
      <c r="G182" s="684"/>
      <c r="H182" s="684"/>
      <c r="I182" s="684"/>
      <c r="J182" s="684"/>
      <c r="K182" s="684"/>
      <c r="L182" s="684"/>
      <c r="M182" s="684"/>
      <c r="N182" s="688">
        <f t="shared" si="10"/>
        <v>0</v>
      </c>
      <c r="O182" s="1112">
        <f t="shared" si="12"/>
        <v>0</v>
      </c>
      <c r="U182" s="840"/>
    </row>
    <row r="183" spans="1:21">
      <c r="A183" s="1007"/>
      <c r="B183" s="1136"/>
      <c r="C183" s="1019"/>
      <c r="D183" s="1019"/>
      <c r="E183" s="684"/>
      <c r="F183" s="1077">
        <f t="shared" si="9"/>
        <v>0</v>
      </c>
      <c r="G183" s="684"/>
      <c r="H183" s="684"/>
      <c r="I183" s="684"/>
      <c r="J183" s="684"/>
      <c r="K183" s="684"/>
      <c r="L183" s="684"/>
      <c r="M183" s="684"/>
      <c r="N183" s="688">
        <f t="shared" si="10"/>
        <v>0</v>
      </c>
      <c r="O183" s="1112">
        <f t="shared" si="12"/>
        <v>0</v>
      </c>
      <c r="U183" s="840"/>
    </row>
    <row r="184" spans="1:21">
      <c r="A184" s="1007"/>
      <c r="B184" s="1136"/>
      <c r="C184" s="1019"/>
      <c r="D184" s="1019"/>
      <c r="E184" s="684"/>
      <c r="F184" s="1077">
        <f t="shared" si="9"/>
        <v>0</v>
      </c>
      <c r="G184" s="684"/>
      <c r="H184" s="684"/>
      <c r="I184" s="684"/>
      <c r="J184" s="684"/>
      <c r="K184" s="684"/>
      <c r="L184" s="684"/>
      <c r="M184" s="684"/>
      <c r="N184" s="688">
        <f t="shared" si="10"/>
        <v>0</v>
      </c>
      <c r="O184" s="1112">
        <f t="shared" si="12"/>
        <v>0</v>
      </c>
      <c r="U184" s="840"/>
    </row>
    <row r="185" spans="1:21">
      <c r="A185" s="1007"/>
      <c r="B185" s="1136"/>
      <c r="C185" s="1019"/>
      <c r="D185" s="1019"/>
      <c r="E185" s="684"/>
      <c r="F185" s="1077">
        <f t="shared" si="9"/>
        <v>0</v>
      </c>
      <c r="G185" s="684"/>
      <c r="H185" s="684"/>
      <c r="I185" s="684"/>
      <c r="J185" s="684"/>
      <c r="K185" s="684"/>
      <c r="L185" s="684"/>
      <c r="M185" s="684"/>
      <c r="N185" s="688">
        <f t="shared" si="10"/>
        <v>0</v>
      </c>
      <c r="O185" s="1112">
        <f t="shared" si="12"/>
        <v>0</v>
      </c>
      <c r="U185" s="840"/>
    </row>
    <row r="186" spans="1:21">
      <c r="A186" s="1007"/>
      <c r="B186" s="1136"/>
      <c r="C186" s="1019"/>
      <c r="D186" s="1019"/>
      <c r="E186" s="684"/>
      <c r="F186" s="1077">
        <f t="shared" si="9"/>
        <v>0</v>
      </c>
      <c r="G186" s="684"/>
      <c r="H186" s="684"/>
      <c r="I186" s="684"/>
      <c r="J186" s="684"/>
      <c r="K186" s="684"/>
      <c r="L186" s="684"/>
      <c r="M186" s="684"/>
      <c r="N186" s="688">
        <f t="shared" si="10"/>
        <v>0</v>
      </c>
      <c r="O186" s="1112">
        <f t="shared" si="12"/>
        <v>0</v>
      </c>
      <c r="U186" s="840"/>
    </row>
    <row r="187" spans="1:21">
      <c r="A187" s="1007"/>
      <c r="B187" s="1136"/>
      <c r="C187" s="1019"/>
      <c r="D187" s="1019"/>
      <c r="E187" s="684"/>
      <c r="F187" s="1077">
        <f t="shared" si="9"/>
        <v>0</v>
      </c>
      <c r="G187" s="684"/>
      <c r="H187" s="684"/>
      <c r="I187" s="684"/>
      <c r="J187" s="684"/>
      <c r="K187" s="684"/>
      <c r="L187" s="684"/>
      <c r="M187" s="684"/>
      <c r="N187" s="688">
        <f t="shared" si="10"/>
        <v>0</v>
      </c>
      <c r="O187" s="1112">
        <f t="shared" si="12"/>
        <v>0</v>
      </c>
      <c r="U187" s="840"/>
    </row>
    <row r="188" spans="1:21">
      <c r="A188" s="1007"/>
      <c r="B188" s="1136"/>
      <c r="C188" s="1019"/>
      <c r="D188" s="1019"/>
      <c r="E188" s="684"/>
      <c r="F188" s="1077">
        <f t="shared" ref="F188:F223" si="13">IFERROR(E188*B188,"")</f>
        <v>0</v>
      </c>
      <c r="G188" s="684"/>
      <c r="H188" s="684"/>
      <c r="I188" s="684"/>
      <c r="J188" s="684"/>
      <c r="K188" s="684"/>
      <c r="L188" s="684"/>
      <c r="M188" s="684"/>
      <c r="N188" s="688">
        <f t="shared" ref="N188:N223" si="14">IFERROR(IF(A188&lt;&gt;"GfB",(SUM(F188:J188)*12+(L188+M188))*(100+$H$12+$H$13)%+(K188*12),(SUM(F188:J188)*12+(L188+M188))*(100+$H$15+$H$13)%+(K188*12)),0)</f>
        <v>0</v>
      </c>
      <c r="O188" s="1112">
        <f t="shared" si="12"/>
        <v>0</v>
      </c>
      <c r="U188" s="840"/>
    </row>
    <row r="189" spans="1:21">
      <c r="A189" s="1007"/>
      <c r="B189" s="1136"/>
      <c r="C189" s="1019"/>
      <c r="D189" s="1019"/>
      <c r="E189" s="684"/>
      <c r="F189" s="1077">
        <f t="shared" si="13"/>
        <v>0</v>
      </c>
      <c r="G189" s="684"/>
      <c r="H189" s="684"/>
      <c r="I189" s="684"/>
      <c r="J189" s="684"/>
      <c r="K189" s="684"/>
      <c r="L189" s="684"/>
      <c r="M189" s="684"/>
      <c r="N189" s="688">
        <f t="shared" si="14"/>
        <v>0</v>
      </c>
      <c r="O189" s="1112">
        <f t="shared" si="12"/>
        <v>0</v>
      </c>
      <c r="U189" s="840"/>
    </row>
    <row r="190" spans="1:21">
      <c r="A190" s="1007"/>
      <c r="B190" s="1136"/>
      <c r="C190" s="1019"/>
      <c r="D190" s="1019"/>
      <c r="E190" s="684"/>
      <c r="F190" s="1077">
        <f t="shared" si="13"/>
        <v>0</v>
      </c>
      <c r="G190" s="684"/>
      <c r="H190" s="684"/>
      <c r="I190" s="684"/>
      <c r="J190" s="684"/>
      <c r="K190" s="684"/>
      <c r="L190" s="684"/>
      <c r="M190" s="684"/>
      <c r="N190" s="688">
        <f t="shared" si="14"/>
        <v>0</v>
      </c>
      <c r="O190" s="1112">
        <f t="shared" si="12"/>
        <v>0</v>
      </c>
      <c r="U190" s="840"/>
    </row>
    <row r="191" spans="1:21">
      <c r="A191" s="1007"/>
      <c r="B191" s="1136"/>
      <c r="C191" s="1019"/>
      <c r="D191" s="1019"/>
      <c r="E191" s="684"/>
      <c r="F191" s="1077">
        <f t="shared" si="13"/>
        <v>0</v>
      </c>
      <c r="G191" s="684"/>
      <c r="H191" s="684"/>
      <c r="I191" s="684"/>
      <c r="J191" s="684"/>
      <c r="K191" s="684"/>
      <c r="L191" s="684"/>
      <c r="M191" s="684"/>
      <c r="N191" s="688">
        <f t="shared" si="14"/>
        <v>0</v>
      </c>
      <c r="O191" s="1112">
        <f t="shared" si="12"/>
        <v>0</v>
      </c>
      <c r="U191" s="840"/>
    </row>
    <row r="192" spans="1:21">
      <c r="A192" s="1007"/>
      <c r="B192" s="1136"/>
      <c r="C192" s="1019"/>
      <c r="D192" s="1019"/>
      <c r="E192" s="684"/>
      <c r="F192" s="1077">
        <f t="shared" si="13"/>
        <v>0</v>
      </c>
      <c r="G192" s="684"/>
      <c r="H192" s="684"/>
      <c r="I192" s="684"/>
      <c r="J192" s="684"/>
      <c r="K192" s="684"/>
      <c r="L192" s="684"/>
      <c r="M192" s="684"/>
      <c r="N192" s="688">
        <f t="shared" si="14"/>
        <v>0</v>
      </c>
      <c r="O192" s="1112">
        <f t="shared" si="12"/>
        <v>0</v>
      </c>
      <c r="U192" s="840"/>
    </row>
    <row r="193" spans="1:21">
      <c r="A193" s="1007"/>
      <c r="B193" s="1136"/>
      <c r="C193" s="1019"/>
      <c r="D193" s="1019"/>
      <c r="E193" s="684"/>
      <c r="F193" s="1077">
        <f t="shared" si="13"/>
        <v>0</v>
      </c>
      <c r="G193" s="684"/>
      <c r="H193" s="684"/>
      <c r="I193" s="684"/>
      <c r="J193" s="684"/>
      <c r="K193" s="684"/>
      <c r="L193" s="684"/>
      <c r="M193" s="684"/>
      <c r="N193" s="688">
        <f t="shared" si="14"/>
        <v>0</v>
      </c>
      <c r="O193" s="1112">
        <f t="shared" si="12"/>
        <v>0</v>
      </c>
      <c r="U193" s="840"/>
    </row>
    <row r="194" spans="1:21">
      <c r="A194" s="1007"/>
      <c r="B194" s="1136"/>
      <c r="C194" s="1019"/>
      <c r="D194" s="1019"/>
      <c r="E194" s="684"/>
      <c r="F194" s="1077">
        <f t="shared" si="13"/>
        <v>0</v>
      </c>
      <c r="G194" s="684"/>
      <c r="H194" s="684"/>
      <c r="I194" s="684"/>
      <c r="J194" s="684"/>
      <c r="K194" s="684"/>
      <c r="L194" s="684"/>
      <c r="M194" s="684"/>
      <c r="N194" s="688">
        <f t="shared" si="14"/>
        <v>0</v>
      </c>
      <c r="O194" s="1112">
        <f t="shared" si="12"/>
        <v>0</v>
      </c>
      <c r="U194" s="840"/>
    </row>
    <row r="195" spans="1:21">
      <c r="A195" s="1007"/>
      <c r="B195" s="1136"/>
      <c r="C195" s="1019"/>
      <c r="D195" s="1019"/>
      <c r="E195" s="684"/>
      <c r="F195" s="1077">
        <f t="shared" si="13"/>
        <v>0</v>
      </c>
      <c r="G195" s="684"/>
      <c r="H195" s="684"/>
      <c r="I195" s="684"/>
      <c r="J195" s="684"/>
      <c r="K195" s="684"/>
      <c r="L195" s="684"/>
      <c r="M195" s="684"/>
      <c r="N195" s="688">
        <f t="shared" si="14"/>
        <v>0</v>
      </c>
      <c r="O195" s="1112">
        <f t="shared" si="12"/>
        <v>0</v>
      </c>
      <c r="U195" s="840"/>
    </row>
    <row r="196" spans="1:21">
      <c r="A196" s="1007"/>
      <c r="B196" s="1136"/>
      <c r="C196" s="1019"/>
      <c r="D196" s="1019"/>
      <c r="E196" s="684"/>
      <c r="F196" s="1077">
        <f t="shared" si="13"/>
        <v>0</v>
      </c>
      <c r="G196" s="684"/>
      <c r="H196" s="684"/>
      <c r="I196" s="684"/>
      <c r="J196" s="684"/>
      <c r="K196" s="684"/>
      <c r="L196" s="684"/>
      <c r="M196" s="684"/>
      <c r="N196" s="688">
        <f t="shared" si="14"/>
        <v>0</v>
      </c>
      <c r="O196" s="1112">
        <f t="shared" si="12"/>
        <v>0</v>
      </c>
      <c r="U196" s="840"/>
    </row>
    <row r="197" spans="1:21">
      <c r="A197" s="1007"/>
      <c r="B197" s="1136"/>
      <c r="C197" s="1019"/>
      <c r="D197" s="1019"/>
      <c r="E197" s="684"/>
      <c r="F197" s="1077">
        <f t="shared" si="13"/>
        <v>0</v>
      </c>
      <c r="G197" s="684"/>
      <c r="H197" s="684"/>
      <c r="I197" s="684"/>
      <c r="J197" s="684"/>
      <c r="K197" s="684"/>
      <c r="L197" s="684"/>
      <c r="M197" s="684"/>
      <c r="N197" s="688">
        <f t="shared" si="14"/>
        <v>0</v>
      </c>
      <c r="O197" s="1112">
        <f t="shared" si="12"/>
        <v>0</v>
      </c>
      <c r="U197" s="840"/>
    </row>
    <row r="198" spans="1:21">
      <c r="A198" s="1007"/>
      <c r="B198" s="1136"/>
      <c r="C198" s="1019"/>
      <c r="D198" s="1019"/>
      <c r="E198" s="684"/>
      <c r="F198" s="1077">
        <f t="shared" si="13"/>
        <v>0</v>
      </c>
      <c r="G198" s="684"/>
      <c r="H198" s="684"/>
      <c r="I198" s="684"/>
      <c r="J198" s="684"/>
      <c r="K198" s="684"/>
      <c r="L198" s="684"/>
      <c r="M198" s="684"/>
      <c r="N198" s="688">
        <f t="shared" si="14"/>
        <v>0</v>
      </c>
      <c r="O198" s="1112">
        <f t="shared" si="12"/>
        <v>0</v>
      </c>
      <c r="U198" s="840"/>
    </row>
    <row r="199" spans="1:21">
      <c r="A199" s="1007"/>
      <c r="B199" s="1136"/>
      <c r="C199" s="1019"/>
      <c r="D199" s="1019"/>
      <c r="E199" s="684"/>
      <c r="F199" s="1077">
        <f t="shared" si="13"/>
        <v>0</v>
      </c>
      <c r="G199" s="684"/>
      <c r="H199" s="684"/>
      <c r="I199" s="684"/>
      <c r="J199" s="684"/>
      <c r="K199" s="684"/>
      <c r="L199" s="684"/>
      <c r="M199" s="684"/>
      <c r="N199" s="688">
        <f t="shared" si="14"/>
        <v>0</v>
      </c>
      <c r="O199" s="1112">
        <f t="shared" si="12"/>
        <v>0</v>
      </c>
      <c r="U199" s="840"/>
    </row>
    <row r="200" spans="1:21">
      <c r="A200" s="1007"/>
      <c r="B200" s="1136"/>
      <c r="C200" s="1019"/>
      <c r="D200" s="1019"/>
      <c r="E200" s="684"/>
      <c r="F200" s="1077">
        <f t="shared" si="13"/>
        <v>0</v>
      </c>
      <c r="G200" s="684"/>
      <c r="H200" s="684"/>
      <c r="I200" s="684"/>
      <c r="J200" s="684"/>
      <c r="K200" s="684"/>
      <c r="L200" s="684"/>
      <c r="M200" s="684"/>
      <c r="N200" s="688">
        <f t="shared" si="14"/>
        <v>0</v>
      </c>
      <c r="O200" s="1112">
        <f t="shared" si="12"/>
        <v>0</v>
      </c>
      <c r="U200" s="840"/>
    </row>
    <row r="201" spans="1:21">
      <c r="A201" s="1007"/>
      <c r="B201" s="1136"/>
      <c r="C201" s="1019"/>
      <c r="D201" s="1019"/>
      <c r="E201" s="684"/>
      <c r="F201" s="1077">
        <f t="shared" si="13"/>
        <v>0</v>
      </c>
      <c r="G201" s="684"/>
      <c r="H201" s="684"/>
      <c r="I201" s="684"/>
      <c r="J201" s="684"/>
      <c r="K201" s="684"/>
      <c r="L201" s="684"/>
      <c r="M201" s="684"/>
      <c r="N201" s="688">
        <f t="shared" si="14"/>
        <v>0</v>
      </c>
      <c r="O201" s="1112">
        <f t="shared" si="12"/>
        <v>0</v>
      </c>
      <c r="U201" s="840"/>
    </row>
    <row r="202" spans="1:21">
      <c r="A202" s="1007"/>
      <c r="B202" s="1136"/>
      <c r="C202" s="1019"/>
      <c r="D202" s="1019"/>
      <c r="E202" s="684"/>
      <c r="F202" s="1077">
        <f t="shared" si="13"/>
        <v>0</v>
      </c>
      <c r="G202" s="684"/>
      <c r="H202" s="684"/>
      <c r="I202" s="684"/>
      <c r="J202" s="684"/>
      <c r="K202" s="684"/>
      <c r="L202" s="684"/>
      <c r="M202" s="684"/>
      <c r="N202" s="688">
        <f t="shared" si="14"/>
        <v>0</v>
      </c>
      <c r="O202" s="1112">
        <f t="shared" ref="O202:O208" si="15">IF(ISERROR(N202/B202),0,(N202/B202))</f>
        <v>0</v>
      </c>
      <c r="U202" s="840"/>
    </row>
    <row r="203" spans="1:21">
      <c r="A203" s="1007"/>
      <c r="B203" s="1136"/>
      <c r="C203" s="1019"/>
      <c r="D203" s="1019"/>
      <c r="E203" s="684"/>
      <c r="F203" s="1077">
        <f t="shared" si="13"/>
        <v>0</v>
      </c>
      <c r="G203" s="684"/>
      <c r="H203" s="684"/>
      <c r="I203" s="684"/>
      <c r="J203" s="684"/>
      <c r="K203" s="684"/>
      <c r="L203" s="684"/>
      <c r="M203" s="684"/>
      <c r="N203" s="688">
        <f t="shared" si="14"/>
        <v>0</v>
      </c>
      <c r="O203" s="1112">
        <f t="shared" si="15"/>
        <v>0</v>
      </c>
      <c r="U203" s="840"/>
    </row>
    <row r="204" spans="1:21">
      <c r="A204" s="1007"/>
      <c r="B204" s="1136"/>
      <c r="C204" s="1019"/>
      <c r="D204" s="1019"/>
      <c r="E204" s="684"/>
      <c r="F204" s="1077">
        <f t="shared" si="13"/>
        <v>0</v>
      </c>
      <c r="G204" s="684"/>
      <c r="H204" s="684"/>
      <c r="I204" s="684"/>
      <c r="J204" s="684"/>
      <c r="K204" s="684"/>
      <c r="L204" s="684"/>
      <c r="M204" s="684"/>
      <c r="N204" s="688">
        <f t="shared" si="14"/>
        <v>0</v>
      </c>
      <c r="O204" s="1112">
        <f t="shared" si="15"/>
        <v>0</v>
      </c>
      <c r="U204" s="840"/>
    </row>
    <row r="205" spans="1:21">
      <c r="A205" s="1007"/>
      <c r="B205" s="1136"/>
      <c r="C205" s="1019"/>
      <c r="D205" s="1019"/>
      <c r="E205" s="684"/>
      <c r="F205" s="1077">
        <f t="shared" si="13"/>
        <v>0</v>
      </c>
      <c r="G205" s="684"/>
      <c r="H205" s="684"/>
      <c r="I205" s="684"/>
      <c r="J205" s="684"/>
      <c r="K205" s="684"/>
      <c r="L205" s="684"/>
      <c r="M205" s="684"/>
      <c r="N205" s="688">
        <f t="shared" si="14"/>
        <v>0</v>
      </c>
      <c r="O205" s="1112">
        <f t="shared" si="15"/>
        <v>0</v>
      </c>
      <c r="U205" s="840"/>
    </row>
    <row r="206" spans="1:21">
      <c r="A206" s="1007"/>
      <c r="B206" s="1136"/>
      <c r="C206" s="1019"/>
      <c r="D206" s="1019"/>
      <c r="E206" s="684"/>
      <c r="F206" s="1077">
        <f t="shared" si="13"/>
        <v>0</v>
      </c>
      <c r="G206" s="684"/>
      <c r="H206" s="684"/>
      <c r="I206" s="684"/>
      <c r="J206" s="684"/>
      <c r="K206" s="684"/>
      <c r="L206" s="684"/>
      <c r="M206" s="684"/>
      <c r="N206" s="688">
        <f t="shared" si="14"/>
        <v>0</v>
      </c>
      <c r="O206" s="1112">
        <f t="shared" si="15"/>
        <v>0</v>
      </c>
      <c r="U206" s="840"/>
    </row>
    <row r="207" spans="1:21">
      <c r="A207" s="1007"/>
      <c r="B207" s="1136"/>
      <c r="C207" s="1019"/>
      <c r="D207" s="1019"/>
      <c r="E207" s="684"/>
      <c r="F207" s="1077">
        <f t="shared" si="13"/>
        <v>0</v>
      </c>
      <c r="G207" s="684"/>
      <c r="H207" s="684"/>
      <c r="I207" s="684"/>
      <c r="J207" s="684"/>
      <c r="K207" s="684"/>
      <c r="L207" s="684"/>
      <c r="M207" s="684"/>
      <c r="N207" s="688">
        <f t="shared" si="14"/>
        <v>0</v>
      </c>
      <c r="O207" s="1112">
        <f t="shared" si="15"/>
        <v>0</v>
      </c>
      <c r="U207" s="840"/>
    </row>
    <row r="208" spans="1:21">
      <c r="A208" s="1007"/>
      <c r="B208" s="1136"/>
      <c r="C208" s="1019"/>
      <c r="D208" s="1019"/>
      <c r="E208" s="684"/>
      <c r="F208" s="1077">
        <f t="shared" si="13"/>
        <v>0</v>
      </c>
      <c r="G208" s="684"/>
      <c r="H208" s="684"/>
      <c r="I208" s="684"/>
      <c r="J208" s="684"/>
      <c r="K208" s="684"/>
      <c r="L208" s="684"/>
      <c r="M208" s="684"/>
      <c r="N208" s="688">
        <f t="shared" si="14"/>
        <v>0</v>
      </c>
      <c r="O208" s="1112">
        <f t="shared" si="15"/>
        <v>0</v>
      </c>
      <c r="U208" s="840"/>
    </row>
    <row r="209" spans="1:20">
      <c r="A209" s="1007"/>
      <c r="B209" s="1136"/>
      <c r="C209" s="1019"/>
      <c r="D209" s="1019"/>
      <c r="E209" s="684"/>
      <c r="F209" s="1077">
        <f t="shared" si="13"/>
        <v>0</v>
      </c>
      <c r="G209" s="684"/>
      <c r="H209" s="684"/>
      <c r="I209" s="684"/>
      <c r="J209" s="684"/>
      <c r="K209" s="684"/>
      <c r="L209" s="684"/>
      <c r="M209" s="684"/>
      <c r="N209" s="688">
        <f t="shared" si="14"/>
        <v>0</v>
      </c>
      <c r="O209" s="1112">
        <f t="shared" si="11"/>
        <v>0</v>
      </c>
    </row>
    <row r="210" spans="1:20">
      <c r="A210" s="1007"/>
      <c r="B210" s="1136"/>
      <c r="C210" s="1019"/>
      <c r="D210" s="1019"/>
      <c r="E210" s="684"/>
      <c r="F210" s="1077">
        <f t="shared" si="13"/>
        <v>0</v>
      </c>
      <c r="G210" s="684"/>
      <c r="H210" s="684"/>
      <c r="I210" s="684"/>
      <c r="J210" s="684"/>
      <c r="K210" s="684"/>
      <c r="L210" s="684"/>
      <c r="M210" s="684"/>
      <c r="N210" s="688">
        <f t="shared" si="14"/>
        <v>0</v>
      </c>
      <c r="O210" s="1112">
        <f t="shared" si="11"/>
        <v>0</v>
      </c>
    </row>
    <row r="211" spans="1:20">
      <c r="A211" s="1007"/>
      <c r="B211" s="1136"/>
      <c r="C211" s="1019"/>
      <c r="D211" s="1019"/>
      <c r="E211" s="684"/>
      <c r="F211" s="1077">
        <f t="shared" si="13"/>
        <v>0</v>
      </c>
      <c r="G211" s="684"/>
      <c r="H211" s="684"/>
      <c r="I211" s="684"/>
      <c r="J211" s="684"/>
      <c r="K211" s="684"/>
      <c r="L211" s="684"/>
      <c r="M211" s="684"/>
      <c r="N211" s="688">
        <f t="shared" si="14"/>
        <v>0</v>
      </c>
      <c r="O211" s="1112">
        <f t="shared" si="11"/>
        <v>0</v>
      </c>
    </row>
    <row r="212" spans="1:20">
      <c r="A212" s="1007"/>
      <c r="B212" s="1136"/>
      <c r="C212" s="1019"/>
      <c r="D212" s="1019"/>
      <c r="E212" s="684"/>
      <c r="F212" s="1077">
        <f t="shared" si="13"/>
        <v>0</v>
      </c>
      <c r="G212" s="684"/>
      <c r="H212" s="684"/>
      <c r="I212" s="684"/>
      <c r="J212" s="684"/>
      <c r="K212" s="684"/>
      <c r="L212" s="684"/>
      <c r="M212" s="684"/>
      <c r="N212" s="688">
        <f t="shared" si="14"/>
        <v>0</v>
      </c>
      <c r="O212" s="1112">
        <f t="shared" si="11"/>
        <v>0</v>
      </c>
    </row>
    <row r="213" spans="1:20">
      <c r="A213" s="1007"/>
      <c r="B213" s="1136"/>
      <c r="C213" s="1019"/>
      <c r="D213" s="1019"/>
      <c r="E213" s="684"/>
      <c r="F213" s="1077">
        <f t="shared" si="13"/>
        <v>0</v>
      </c>
      <c r="G213" s="684"/>
      <c r="H213" s="684"/>
      <c r="I213" s="684"/>
      <c r="J213" s="684"/>
      <c r="K213" s="684"/>
      <c r="L213" s="684"/>
      <c r="M213" s="684"/>
      <c r="N213" s="688">
        <f t="shared" si="14"/>
        <v>0</v>
      </c>
      <c r="O213" s="1112">
        <f t="shared" si="11"/>
        <v>0</v>
      </c>
    </row>
    <row r="214" spans="1:20">
      <c r="A214" s="1007"/>
      <c r="B214" s="1136"/>
      <c r="C214" s="1019"/>
      <c r="D214" s="1019"/>
      <c r="E214" s="684"/>
      <c r="F214" s="1077">
        <f t="shared" si="13"/>
        <v>0</v>
      </c>
      <c r="G214" s="684"/>
      <c r="H214" s="684"/>
      <c r="I214" s="684"/>
      <c r="J214" s="684"/>
      <c r="K214" s="684"/>
      <c r="L214" s="684"/>
      <c r="M214" s="684"/>
      <c r="N214" s="688">
        <f t="shared" si="14"/>
        <v>0</v>
      </c>
      <c r="O214" s="1112">
        <f t="shared" si="11"/>
        <v>0</v>
      </c>
    </row>
    <row r="215" spans="1:20">
      <c r="A215" s="1007"/>
      <c r="B215" s="1136"/>
      <c r="C215" s="1317"/>
      <c r="D215" s="1019"/>
      <c r="E215" s="684"/>
      <c r="F215" s="1077">
        <f t="shared" si="13"/>
        <v>0</v>
      </c>
      <c r="G215" s="684"/>
      <c r="H215" s="684"/>
      <c r="I215" s="684"/>
      <c r="J215" s="684"/>
      <c r="K215" s="684"/>
      <c r="L215" s="684"/>
      <c r="M215" s="684"/>
      <c r="N215" s="688">
        <f t="shared" si="14"/>
        <v>0</v>
      </c>
      <c r="O215" s="1112">
        <f t="shared" si="11"/>
        <v>0</v>
      </c>
    </row>
    <row r="216" spans="1:20">
      <c r="A216" s="1007"/>
      <c r="B216" s="1136"/>
      <c r="C216" s="1317"/>
      <c r="D216" s="1019"/>
      <c r="E216" s="684"/>
      <c r="F216" s="1077">
        <f t="shared" si="13"/>
        <v>0</v>
      </c>
      <c r="G216" s="684"/>
      <c r="H216" s="684"/>
      <c r="I216" s="684"/>
      <c r="J216" s="684"/>
      <c r="K216" s="684"/>
      <c r="L216" s="684"/>
      <c r="M216" s="684"/>
      <c r="N216" s="688">
        <f t="shared" si="14"/>
        <v>0</v>
      </c>
      <c r="O216" s="1112">
        <f t="shared" si="11"/>
        <v>0</v>
      </c>
    </row>
    <row r="217" spans="1:20">
      <c r="A217" s="1007"/>
      <c r="B217" s="1136"/>
      <c r="C217" s="1019"/>
      <c r="D217" s="1019"/>
      <c r="E217" s="684"/>
      <c r="F217" s="1077">
        <f t="shared" si="13"/>
        <v>0</v>
      </c>
      <c r="G217" s="684"/>
      <c r="H217" s="684"/>
      <c r="I217" s="684"/>
      <c r="J217" s="684"/>
      <c r="K217" s="684"/>
      <c r="L217" s="684"/>
      <c r="M217" s="684"/>
      <c r="N217" s="688">
        <f t="shared" si="14"/>
        <v>0</v>
      </c>
      <c r="O217" s="1112">
        <f t="shared" si="11"/>
        <v>0</v>
      </c>
    </row>
    <row r="218" spans="1:20">
      <c r="A218" s="1007"/>
      <c r="B218" s="1136"/>
      <c r="C218" s="1019"/>
      <c r="D218" s="1019"/>
      <c r="E218" s="684"/>
      <c r="F218" s="1077">
        <f t="shared" si="13"/>
        <v>0</v>
      </c>
      <c r="G218" s="684"/>
      <c r="H218" s="684"/>
      <c r="I218" s="684"/>
      <c r="J218" s="684"/>
      <c r="K218" s="684"/>
      <c r="L218" s="684"/>
      <c r="M218" s="684"/>
      <c r="N218" s="688">
        <f t="shared" si="14"/>
        <v>0</v>
      </c>
      <c r="O218" s="1112">
        <f t="shared" si="11"/>
        <v>0</v>
      </c>
    </row>
    <row r="219" spans="1:20">
      <c r="A219" s="1007"/>
      <c r="B219" s="1136"/>
      <c r="C219" s="1317"/>
      <c r="D219" s="1019"/>
      <c r="E219" s="684"/>
      <c r="F219" s="1077">
        <f t="shared" si="13"/>
        <v>0</v>
      </c>
      <c r="G219" s="684"/>
      <c r="H219" s="684"/>
      <c r="I219" s="684"/>
      <c r="J219" s="684"/>
      <c r="K219" s="684"/>
      <c r="L219" s="684"/>
      <c r="M219" s="684"/>
      <c r="N219" s="688">
        <f t="shared" si="14"/>
        <v>0</v>
      </c>
      <c r="O219" s="1112">
        <f t="shared" si="11"/>
        <v>0</v>
      </c>
    </row>
    <row r="220" spans="1:20">
      <c r="A220" s="1007"/>
      <c r="B220" s="1136"/>
      <c r="C220" s="1019"/>
      <c r="D220" s="1019"/>
      <c r="E220" s="684"/>
      <c r="F220" s="1077">
        <f t="shared" si="13"/>
        <v>0</v>
      </c>
      <c r="G220" s="684"/>
      <c r="H220" s="684"/>
      <c r="I220" s="684"/>
      <c r="J220" s="684"/>
      <c r="K220" s="684"/>
      <c r="L220" s="684"/>
      <c r="M220" s="684"/>
      <c r="N220" s="688">
        <f t="shared" si="14"/>
        <v>0</v>
      </c>
      <c r="O220" s="1112">
        <f t="shared" si="11"/>
        <v>0</v>
      </c>
    </row>
    <row r="221" spans="1:20">
      <c r="A221" s="1007"/>
      <c r="B221" s="1136"/>
      <c r="C221" s="1019"/>
      <c r="D221" s="1019"/>
      <c r="E221" s="684"/>
      <c r="F221" s="1077">
        <f t="shared" si="13"/>
        <v>0</v>
      </c>
      <c r="G221" s="684"/>
      <c r="H221" s="684"/>
      <c r="I221" s="684"/>
      <c r="J221" s="684"/>
      <c r="K221" s="684"/>
      <c r="L221" s="684"/>
      <c r="M221" s="684"/>
      <c r="N221" s="688">
        <f t="shared" si="14"/>
        <v>0</v>
      </c>
      <c r="O221" s="1112">
        <f t="shared" si="11"/>
        <v>0</v>
      </c>
    </row>
    <row r="222" spans="1:20">
      <c r="A222" s="1007"/>
      <c r="B222" s="1136"/>
      <c r="C222" s="1019"/>
      <c r="D222" s="1019"/>
      <c r="E222" s="684"/>
      <c r="F222" s="1077">
        <f t="shared" si="13"/>
        <v>0</v>
      </c>
      <c r="G222" s="684"/>
      <c r="H222" s="684"/>
      <c r="I222" s="684"/>
      <c r="J222" s="684"/>
      <c r="K222" s="684"/>
      <c r="L222" s="684"/>
      <c r="M222" s="684"/>
      <c r="N222" s="688">
        <f t="shared" si="14"/>
        <v>0</v>
      </c>
      <c r="O222" s="1112">
        <f t="shared" si="11"/>
        <v>0</v>
      </c>
    </row>
    <row r="223" spans="1:20" ht="13.5" thickBot="1">
      <c r="A223" s="1318"/>
      <c r="B223" s="1319"/>
      <c r="C223" s="1320"/>
      <c r="D223" s="1320"/>
      <c r="E223" s="1321"/>
      <c r="F223" s="1322">
        <f t="shared" si="13"/>
        <v>0</v>
      </c>
      <c r="G223" s="1321"/>
      <c r="H223" s="1321"/>
      <c r="I223" s="1321"/>
      <c r="J223" s="1321"/>
      <c r="K223" s="1321"/>
      <c r="L223" s="1321"/>
      <c r="M223" s="1321"/>
      <c r="N223" s="688">
        <f t="shared" si="14"/>
        <v>0</v>
      </c>
      <c r="O223" s="1113">
        <f>IF(ISERROR(N223/B223),0,(N223/B223))</f>
        <v>0</v>
      </c>
    </row>
    <row r="224" spans="1:20" ht="13.5" thickBot="1">
      <c r="A224" s="1126" t="s">
        <v>629</v>
      </c>
      <c r="B224" s="764">
        <f>SUM(B124:B223)</f>
        <v>0</v>
      </c>
      <c r="C224" s="686"/>
      <c r="D224" s="686"/>
      <c r="E224" s="686"/>
      <c r="F224" s="1073">
        <f>IFERROR(SUM(F124:F223)/$B$224,0)</f>
        <v>0</v>
      </c>
      <c r="G224" s="997">
        <f t="shared" ref="G224:M224" si="16">IFERROR(SUM(G124:G223)/$B$224,0)</f>
        <v>0</v>
      </c>
      <c r="H224" s="997">
        <f t="shared" si="16"/>
        <v>0</v>
      </c>
      <c r="I224" s="997">
        <f t="shared" si="16"/>
        <v>0</v>
      </c>
      <c r="J224" s="997">
        <f t="shared" si="16"/>
        <v>0</v>
      </c>
      <c r="K224" s="997">
        <f t="shared" si="16"/>
        <v>0</v>
      </c>
      <c r="L224" s="997">
        <f t="shared" si="16"/>
        <v>0</v>
      </c>
      <c r="M224" s="997">
        <f t="shared" si="16"/>
        <v>0</v>
      </c>
      <c r="N224" s="998">
        <f>SUM(N124:N223)</f>
        <v>0</v>
      </c>
      <c r="O224" s="1003">
        <f>IFERROR(SUM(N224/B224),0)</f>
        <v>0</v>
      </c>
      <c r="T224" s="1192" t="s">
        <v>770</v>
      </c>
    </row>
    <row r="225" spans="1:20">
      <c r="A225" s="1114"/>
      <c r="B225" s="689"/>
      <c r="C225" s="689"/>
      <c r="D225" s="689"/>
      <c r="E225" s="689"/>
      <c r="F225" s="690"/>
      <c r="G225" s="690"/>
      <c r="H225" s="690"/>
      <c r="I225" s="690"/>
      <c r="J225" s="690"/>
      <c r="K225" s="690"/>
      <c r="L225" s="690"/>
      <c r="M225" s="690"/>
      <c r="N225" s="1096"/>
      <c r="O225" s="1115"/>
      <c r="T225" s="840" t="s">
        <v>557</v>
      </c>
    </row>
    <row r="226" spans="1:20" ht="7.5" customHeight="1" thickBot="1">
      <c r="A226" s="1114"/>
      <c r="B226" s="689"/>
      <c r="C226" s="689"/>
      <c r="D226" s="689"/>
      <c r="E226" s="689"/>
      <c r="F226" s="690"/>
      <c r="G226" s="690"/>
      <c r="H226" s="690"/>
      <c r="I226" s="690"/>
      <c r="J226" s="690"/>
      <c r="K226" s="690"/>
      <c r="L226" s="690"/>
      <c r="M226" s="690"/>
      <c r="N226" s="1094"/>
      <c r="O226" s="1095"/>
    </row>
    <row r="227" spans="1:20" ht="13.5" thickBot="1">
      <c r="A227" s="748"/>
      <c r="B227" s="762">
        <f>B224+B121</f>
        <v>0</v>
      </c>
      <c r="C227" s="686"/>
      <c r="D227" s="686"/>
      <c r="E227" s="686"/>
      <c r="F227" s="1074">
        <f t="shared" ref="F227:M227" si="17">IFERROR(SUM(F124:F223,F21:F115)/($B$227-SUM($B$116:$B$120)),0)</f>
        <v>0</v>
      </c>
      <c r="G227" s="1021">
        <f t="shared" si="17"/>
        <v>0</v>
      </c>
      <c r="H227" s="1021">
        <f t="shared" si="17"/>
        <v>0</v>
      </c>
      <c r="I227" s="1021">
        <f t="shared" si="17"/>
        <v>0</v>
      </c>
      <c r="J227" s="1021">
        <f t="shared" si="17"/>
        <v>0</v>
      </c>
      <c r="K227" s="1021">
        <f t="shared" si="17"/>
        <v>0</v>
      </c>
      <c r="L227" s="1021">
        <f t="shared" si="17"/>
        <v>0</v>
      </c>
      <c r="M227" s="1021">
        <f t="shared" si="17"/>
        <v>0</v>
      </c>
      <c r="N227" s="1002">
        <f>N224+N121</f>
        <v>0</v>
      </c>
      <c r="O227" s="1003">
        <f>IFERROR(N227/B227,0)</f>
        <v>0</v>
      </c>
      <c r="T227" s="840" t="s">
        <v>545</v>
      </c>
    </row>
    <row r="228" spans="1:20" ht="13.5" thickBot="1">
      <c r="A228" s="1107"/>
      <c r="B228" s="1010">
        <f>IFERROR(B121/B227,0)</f>
        <v>0</v>
      </c>
      <c r="C228" s="693" t="s">
        <v>413</v>
      </c>
      <c r="D228" s="691"/>
      <c r="E228" s="687"/>
      <c r="F228" s="690"/>
      <c r="G228" s="687"/>
      <c r="H228" s="687"/>
      <c r="I228" s="687"/>
      <c r="J228" s="687"/>
      <c r="K228" s="687"/>
      <c r="L228" s="687"/>
      <c r="M228" s="687"/>
      <c r="N228" s="768"/>
      <c r="O228" s="1116"/>
    </row>
    <row r="229" spans="1:20">
      <c r="A229" s="1124" t="s">
        <v>630</v>
      </c>
      <c r="B229" s="687"/>
      <c r="C229" s="687"/>
      <c r="D229" s="687"/>
      <c r="E229" s="687"/>
      <c r="F229" s="690"/>
      <c r="G229" s="687"/>
      <c r="H229" s="1416" t="str">
        <f>IF($H$13&gt;0,"Beiträge zur Altersvorsorge NICHT in Spalte bAV, betriebliche Zulagen erfassen","")</f>
        <v/>
      </c>
      <c r="I229" s="1416"/>
      <c r="J229" s="1416"/>
      <c r="K229" s="1416"/>
      <c r="L229" s="1416"/>
      <c r="M229" s="1416"/>
      <c r="N229" s="1416"/>
      <c r="O229" s="1417"/>
    </row>
    <row r="230" spans="1:20">
      <c r="A230" s="1008"/>
      <c r="B230" s="1136"/>
      <c r="C230" s="1018"/>
      <c r="D230" s="1018"/>
      <c r="E230" s="1078"/>
      <c r="F230" s="1077">
        <f t="shared" ref="F230:F244" si="18">IFERROR(E230*B230,"")</f>
        <v>0</v>
      </c>
      <c r="G230" s="684"/>
      <c r="H230" s="682"/>
      <c r="I230" s="682"/>
      <c r="J230" s="682"/>
      <c r="K230" s="682"/>
      <c r="L230" s="682"/>
      <c r="M230" s="682"/>
      <c r="N230" s="683">
        <f t="shared" ref="N230:N244" si="19">IFERROR(IF(A230&lt;&gt;"GfB",(SUM(F230:J230)*12+(L230+M230))*(100+$H$12+$H$13)%+(K230*12),(SUM(F230:J230)*12+(L230+M230))*(100+$H$15+$H$13)%+(K230*12)),0)</f>
        <v>0</v>
      </c>
      <c r="O230" s="1105">
        <f t="shared" ref="O230:O240" si="20">IF(ISERROR(N230/B230),0,(N230/B230))</f>
        <v>0</v>
      </c>
    </row>
    <row r="231" spans="1:20">
      <c r="A231" s="1079"/>
      <c r="B231" s="1136"/>
      <c r="C231" s="1018"/>
      <c r="D231" s="1018"/>
      <c r="E231" s="1078"/>
      <c r="F231" s="1077">
        <f t="shared" si="18"/>
        <v>0</v>
      </c>
      <c r="G231" s="684"/>
      <c r="H231" s="684"/>
      <c r="I231" s="684"/>
      <c r="J231" s="684"/>
      <c r="K231" s="684"/>
      <c r="L231" s="684"/>
      <c r="M231" s="684"/>
      <c r="N231" s="683">
        <f>IFERROR(IF(A231&lt;&gt;"GfB",(SUM(F231:J231)*12+(L231+M231))*(100+$H$12+$H$13)%+(K231*12),(SUM(F231:J231)*12+(L231+M231))*(100+$H$15+$H$13)%+(K231*12)),0)</f>
        <v>0</v>
      </c>
      <c r="O231" s="1112">
        <f t="shared" si="20"/>
        <v>0</v>
      </c>
    </row>
    <row r="232" spans="1:20">
      <c r="A232" s="1007"/>
      <c r="B232" s="1136"/>
      <c r="C232" s="1018"/>
      <c r="D232" s="1018"/>
      <c r="E232" s="1078"/>
      <c r="F232" s="1077">
        <f t="shared" si="18"/>
        <v>0</v>
      </c>
      <c r="G232" s="684"/>
      <c r="H232" s="684"/>
      <c r="I232" s="684"/>
      <c r="J232" s="684"/>
      <c r="K232" s="684"/>
      <c r="L232" s="684"/>
      <c r="M232" s="684"/>
      <c r="N232" s="683">
        <f t="shared" si="19"/>
        <v>0</v>
      </c>
      <c r="O232" s="1112">
        <f t="shared" si="20"/>
        <v>0</v>
      </c>
    </row>
    <row r="233" spans="1:20">
      <c r="A233" s="1007"/>
      <c r="B233" s="1136"/>
      <c r="C233" s="1018"/>
      <c r="D233" s="1018"/>
      <c r="E233" s="1078"/>
      <c r="F233" s="1077">
        <f t="shared" si="18"/>
        <v>0</v>
      </c>
      <c r="G233" s="684"/>
      <c r="H233" s="684"/>
      <c r="I233" s="684"/>
      <c r="J233" s="684"/>
      <c r="K233" s="684"/>
      <c r="L233" s="684"/>
      <c r="M233" s="684"/>
      <c r="N233" s="683">
        <f t="shared" si="19"/>
        <v>0</v>
      </c>
      <c r="O233" s="1112">
        <f t="shared" si="20"/>
        <v>0</v>
      </c>
    </row>
    <row r="234" spans="1:20">
      <c r="A234" s="1007"/>
      <c r="B234" s="1136"/>
      <c r="C234" s="1018"/>
      <c r="D234" s="1018"/>
      <c r="E234" s="1078"/>
      <c r="F234" s="1077">
        <f t="shared" si="18"/>
        <v>0</v>
      </c>
      <c r="G234" s="684"/>
      <c r="H234" s="684"/>
      <c r="I234" s="684"/>
      <c r="J234" s="684"/>
      <c r="K234" s="684"/>
      <c r="L234" s="684"/>
      <c r="M234" s="684"/>
      <c r="N234" s="683">
        <f t="shared" si="19"/>
        <v>0</v>
      </c>
      <c r="O234" s="1112">
        <f t="shared" si="20"/>
        <v>0</v>
      </c>
    </row>
    <row r="235" spans="1:20">
      <c r="A235" s="1007"/>
      <c r="B235" s="1136"/>
      <c r="C235" s="1018"/>
      <c r="D235" s="1018"/>
      <c r="E235" s="1078"/>
      <c r="F235" s="1077">
        <f t="shared" si="18"/>
        <v>0</v>
      </c>
      <c r="G235" s="684"/>
      <c r="H235" s="684"/>
      <c r="I235" s="684"/>
      <c r="J235" s="684"/>
      <c r="K235" s="684"/>
      <c r="L235" s="684"/>
      <c r="M235" s="684"/>
      <c r="N235" s="683">
        <f t="shared" si="19"/>
        <v>0</v>
      </c>
      <c r="O235" s="1112">
        <f t="shared" si="20"/>
        <v>0</v>
      </c>
    </row>
    <row r="236" spans="1:20">
      <c r="A236" s="1007"/>
      <c r="B236" s="1136"/>
      <c r="C236" s="1018"/>
      <c r="D236" s="1018"/>
      <c r="E236" s="1078"/>
      <c r="F236" s="1077">
        <f t="shared" si="18"/>
        <v>0</v>
      </c>
      <c r="G236" s="684"/>
      <c r="H236" s="684"/>
      <c r="I236" s="684"/>
      <c r="J236" s="684"/>
      <c r="K236" s="684"/>
      <c r="L236" s="684"/>
      <c r="M236" s="684"/>
      <c r="N236" s="683">
        <f t="shared" si="19"/>
        <v>0</v>
      </c>
      <c r="O236" s="1112">
        <f t="shared" si="20"/>
        <v>0</v>
      </c>
    </row>
    <row r="237" spans="1:20">
      <c r="A237" s="1007"/>
      <c r="B237" s="1136"/>
      <c r="C237" s="1018"/>
      <c r="D237" s="1018"/>
      <c r="E237" s="1078"/>
      <c r="F237" s="1077">
        <f t="shared" si="18"/>
        <v>0</v>
      </c>
      <c r="G237" s="684"/>
      <c r="H237" s="684"/>
      <c r="I237" s="684"/>
      <c r="J237" s="684"/>
      <c r="K237" s="684"/>
      <c r="L237" s="684"/>
      <c r="M237" s="684"/>
      <c r="N237" s="683">
        <f t="shared" si="19"/>
        <v>0</v>
      </c>
      <c r="O237" s="1112">
        <f t="shared" si="20"/>
        <v>0</v>
      </c>
    </row>
    <row r="238" spans="1:20">
      <c r="A238" s="1007"/>
      <c r="B238" s="1136"/>
      <c r="C238" s="1018"/>
      <c r="D238" s="1018"/>
      <c r="E238" s="1078"/>
      <c r="F238" s="1077">
        <f t="shared" si="18"/>
        <v>0</v>
      </c>
      <c r="G238" s="684"/>
      <c r="H238" s="684"/>
      <c r="I238" s="684"/>
      <c r="J238" s="684"/>
      <c r="K238" s="684"/>
      <c r="L238" s="684"/>
      <c r="M238" s="684"/>
      <c r="N238" s="683">
        <f t="shared" si="19"/>
        <v>0</v>
      </c>
      <c r="O238" s="1112">
        <f t="shared" si="20"/>
        <v>0</v>
      </c>
    </row>
    <row r="239" spans="1:20">
      <c r="A239" s="1007"/>
      <c r="B239" s="1136"/>
      <c r="C239" s="1018"/>
      <c r="D239" s="1018"/>
      <c r="E239" s="1078"/>
      <c r="F239" s="1077">
        <f t="shared" si="18"/>
        <v>0</v>
      </c>
      <c r="G239" s="684"/>
      <c r="H239" s="684"/>
      <c r="I239" s="684"/>
      <c r="J239" s="684"/>
      <c r="K239" s="684"/>
      <c r="L239" s="684"/>
      <c r="M239" s="684"/>
      <c r="N239" s="683">
        <f t="shared" si="19"/>
        <v>0</v>
      </c>
      <c r="O239" s="1112">
        <f t="shared" si="20"/>
        <v>0</v>
      </c>
    </row>
    <row r="240" spans="1:20">
      <c r="A240" s="1007"/>
      <c r="B240" s="1136"/>
      <c r="C240" s="1018"/>
      <c r="D240" s="1018"/>
      <c r="E240" s="1078"/>
      <c r="F240" s="1077">
        <f t="shared" si="18"/>
        <v>0</v>
      </c>
      <c r="G240" s="684"/>
      <c r="H240" s="684"/>
      <c r="I240" s="684"/>
      <c r="J240" s="684"/>
      <c r="K240" s="684"/>
      <c r="L240" s="684"/>
      <c r="M240" s="684"/>
      <c r="N240" s="683">
        <f t="shared" si="19"/>
        <v>0</v>
      </c>
      <c r="O240" s="1112">
        <f t="shared" si="20"/>
        <v>0</v>
      </c>
    </row>
    <row r="241" spans="1:15">
      <c r="A241" s="1007"/>
      <c r="B241" s="1136"/>
      <c r="C241" s="1018"/>
      <c r="D241" s="1018"/>
      <c r="E241" s="1078"/>
      <c r="F241" s="1077">
        <f t="shared" si="18"/>
        <v>0</v>
      </c>
      <c r="G241" s="684"/>
      <c r="H241" s="684"/>
      <c r="I241" s="684"/>
      <c r="J241" s="684"/>
      <c r="K241" s="684"/>
      <c r="L241" s="684"/>
      <c r="M241" s="684"/>
      <c r="N241" s="683">
        <f t="shared" si="19"/>
        <v>0</v>
      </c>
      <c r="O241" s="1112">
        <f t="shared" ref="O241:O243" si="21">IF(ISERROR(N241/B241),0,(N241/B241))</f>
        <v>0</v>
      </c>
    </row>
    <row r="242" spans="1:15">
      <c r="A242" s="1007"/>
      <c r="B242" s="1136"/>
      <c r="C242" s="1018"/>
      <c r="D242" s="1018"/>
      <c r="E242" s="1078"/>
      <c r="F242" s="1077">
        <f t="shared" si="18"/>
        <v>0</v>
      </c>
      <c r="G242" s="684"/>
      <c r="H242" s="684"/>
      <c r="I242" s="684"/>
      <c r="J242" s="684"/>
      <c r="K242" s="684"/>
      <c r="L242" s="684"/>
      <c r="M242" s="684"/>
      <c r="N242" s="683">
        <f t="shared" si="19"/>
        <v>0</v>
      </c>
      <c r="O242" s="1112">
        <f t="shared" si="21"/>
        <v>0</v>
      </c>
    </row>
    <row r="243" spans="1:15">
      <c r="A243" s="1007"/>
      <c r="B243" s="1136"/>
      <c r="C243" s="1018"/>
      <c r="D243" s="1018"/>
      <c r="E243" s="1078"/>
      <c r="F243" s="1077">
        <f t="shared" si="18"/>
        <v>0</v>
      </c>
      <c r="G243" s="684"/>
      <c r="H243" s="684"/>
      <c r="I243" s="684"/>
      <c r="J243" s="684"/>
      <c r="K243" s="684"/>
      <c r="L243" s="684"/>
      <c r="M243" s="684"/>
      <c r="N243" s="683">
        <f t="shared" si="19"/>
        <v>0</v>
      </c>
      <c r="O243" s="1112">
        <f t="shared" si="21"/>
        <v>0</v>
      </c>
    </row>
    <row r="244" spans="1:15" ht="13.5" thickBot="1">
      <c r="A244" s="1007"/>
      <c r="B244" s="1136"/>
      <c r="C244" s="1018"/>
      <c r="D244" s="1018"/>
      <c r="E244" s="1078"/>
      <c r="F244" s="1077">
        <f t="shared" si="18"/>
        <v>0</v>
      </c>
      <c r="G244" s="684"/>
      <c r="H244" s="684"/>
      <c r="I244" s="684"/>
      <c r="J244" s="684"/>
      <c r="K244" s="684"/>
      <c r="L244" s="684"/>
      <c r="M244" s="684"/>
      <c r="N244" s="683">
        <f t="shared" si="19"/>
        <v>0</v>
      </c>
      <c r="O244" s="1112">
        <f>IF(ISERROR(N244/B244),0,(N244/B244))</f>
        <v>0</v>
      </c>
    </row>
    <row r="245" spans="1:15" ht="13.5" thickBot="1">
      <c r="A245" s="1126" t="s">
        <v>631</v>
      </c>
      <c r="B245" s="764">
        <f>SUM(B230:B244)</f>
        <v>0</v>
      </c>
      <c r="C245" s="686"/>
      <c r="D245" s="686"/>
      <c r="E245" s="686"/>
      <c r="F245" s="1073">
        <f>IFERROR(SUM(F230:F244)/$B$245,0)</f>
        <v>0</v>
      </c>
      <c r="G245" s="997">
        <f t="shared" ref="G245:M245" si="22">IFERROR(SUM(G230:G244)/$B$245,0)</f>
        <v>0</v>
      </c>
      <c r="H245" s="997">
        <f t="shared" si="22"/>
        <v>0</v>
      </c>
      <c r="I245" s="997">
        <f t="shared" si="22"/>
        <v>0</v>
      </c>
      <c r="J245" s="997">
        <f t="shared" si="22"/>
        <v>0</v>
      </c>
      <c r="K245" s="997">
        <f t="shared" si="22"/>
        <v>0</v>
      </c>
      <c r="L245" s="997">
        <f t="shared" si="22"/>
        <v>0</v>
      </c>
      <c r="M245" s="997">
        <f t="shared" si="22"/>
        <v>0</v>
      </c>
      <c r="N245" s="998">
        <f>SUM(N230:N244)</f>
        <v>0</v>
      </c>
      <c r="O245" s="1003">
        <f>IFERROR(SUM(N245/B245),0)</f>
        <v>0</v>
      </c>
    </row>
    <row r="246" spans="1:15">
      <c r="A246" s="1114"/>
      <c r="B246" s="687"/>
      <c r="C246" s="687"/>
      <c r="D246" s="687"/>
      <c r="E246" s="687"/>
      <c r="F246" s="690"/>
      <c r="G246" s="687"/>
      <c r="H246" s="687"/>
      <c r="I246" s="687"/>
      <c r="J246" s="687"/>
      <c r="K246" s="687"/>
      <c r="L246" s="687"/>
      <c r="M246" s="687"/>
      <c r="N246" s="1096"/>
      <c r="O246" s="1117"/>
    </row>
    <row r="247" spans="1:15" ht="18" customHeight="1">
      <c r="A247" s="1107"/>
      <c r="B247" s="687"/>
      <c r="C247" s="687"/>
      <c r="D247" s="687"/>
      <c r="E247" s="687"/>
      <c r="F247" s="690"/>
      <c r="G247" s="687"/>
      <c r="H247" s="687"/>
      <c r="I247" s="687"/>
      <c r="J247" s="687"/>
      <c r="K247" s="687"/>
      <c r="L247" s="687"/>
      <c r="M247" s="687"/>
      <c r="N247" s="687"/>
      <c r="O247" s="1101"/>
    </row>
    <row r="248" spans="1:15">
      <c r="A248" s="1124" t="s">
        <v>632</v>
      </c>
      <c r="B248" s="687"/>
      <c r="C248" s="687"/>
      <c r="D248" s="687"/>
      <c r="E248" s="687"/>
      <c r="F248" s="690"/>
      <c r="G248" s="687"/>
      <c r="H248" s="1416" t="str">
        <f>IF($H$13&gt;0,"Beiträge zur Altersvorsorge NICHT in Spalte bAV, betriebliche Zulagen erfassen","")</f>
        <v/>
      </c>
      <c r="I248" s="1416"/>
      <c r="J248" s="1416"/>
      <c r="K248" s="1416"/>
      <c r="L248" s="1416"/>
      <c r="M248" s="1416"/>
      <c r="N248" s="1416"/>
      <c r="O248" s="1417"/>
    </row>
    <row r="249" spans="1:15">
      <c r="A249" s="1008"/>
      <c r="B249" s="1136"/>
      <c r="C249" s="1019"/>
      <c r="D249" s="1019"/>
      <c r="E249" s="684"/>
      <c r="F249" s="1077">
        <f t="shared" ref="F249:F273" si="23">IFERROR(E249*B249,"")</f>
        <v>0</v>
      </c>
      <c r="G249" s="684"/>
      <c r="H249" s="684"/>
      <c r="I249" s="684"/>
      <c r="J249" s="684"/>
      <c r="K249" s="684"/>
      <c r="L249" s="684"/>
      <c r="M249" s="684"/>
      <c r="N249" s="688">
        <f t="shared" ref="N249:N273" si="24">IFERROR(IF(A249&lt;&gt;"GfB",(SUM(F249:J249)*12+(L249+M249))*(100+$H$12+$H$13)%+(K249*12),(SUM(F249:J249)*12+(L249+M249))*(100+$H$15+$H$13)%+(K249*12)),0)</f>
        <v>0</v>
      </c>
      <c r="O249" s="1112">
        <f>IF(ISERROR(N249/B249),0,(N249/B249))</f>
        <v>0</v>
      </c>
    </row>
    <row r="250" spans="1:15">
      <c r="A250" s="1007"/>
      <c r="B250" s="1136"/>
      <c r="C250" s="1019"/>
      <c r="D250" s="1019"/>
      <c r="E250" s="684"/>
      <c r="F250" s="1077">
        <f t="shared" si="23"/>
        <v>0</v>
      </c>
      <c r="G250" s="684"/>
      <c r="H250" s="684"/>
      <c r="I250" s="684"/>
      <c r="J250" s="684"/>
      <c r="K250" s="684"/>
      <c r="L250" s="684"/>
      <c r="M250" s="684"/>
      <c r="N250" s="688">
        <f t="shared" si="24"/>
        <v>0</v>
      </c>
      <c r="O250" s="1112">
        <f t="shared" ref="O250:O265" si="25">IF(ISERROR(N250/B250),0,(N250/B250))</f>
        <v>0</v>
      </c>
    </row>
    <row r="251" spans="1:15">
      <c r="A251" s="1007"/>
      <c r="B251" s="1136"/>
      <c r="C251" s="1019"/>
      <c r="D251" s="1019"/>
      <c r="E251" s="684"/>
      <c r="F251" s="1077">
        <f t="shared" si="23"/>
        <v>0</v>
      </c>
      <c r="G251" s="684"/>
      <c r="H251" s="684"/>
      <c r="I251" s="684"/>
      <c r="J251" s="684"/>
      <c r="K251" s="684"/>
      <c r="L251" s="684"/>
      <c r="M251" s="684"/>
      <c r="N251" s="688">
        <f t="shared" si="24"/>
        <v>0</v>
      </c>
      <c r="O251" s="1112">
        <f t="shared" si="25"/>
        <v>0</v>
      </c>
    </row>
    <row r="252" spans="1:15">
      <c r="A252" s="1007"/>
      <c r="B252" s="1136"/>
      <c r="C252" s="1019"/>
      <c r="D252" s="1019"/>
      <c r="E252" s="684"/>
      <c r="F252" s="1077">
        <f t="shared" si="23"/>
        <v>0</v>
      </c>
      <c r="G252" s="684"/>
      <c r="H252" s="684"/>
      <c r="I252" s="684"/>
      <c r="J252" s="684"/>
      <c r="K252" s="684"/>
      <c r="L252" s="684"/>
      <c r="M252" s="684"/>
      <c r="N252" s="688">
        <f t="shared" si="24"/>
        <v>0</v>
      </c>
      <c r="O252" s="1112">
        <f t="shared" si="25"/>
        <v>0</v>
      </c>
    </row>
    <row r="253" spans="1:15">
      <c r="A253" s="1007"/>
      <c r="B253" s="1136"/>
      <c r="C253" s="1019"/>
      <c r="D253" s="1019"/>
      <c r="E253" s="684"/>
      <c r="F253" s="1077">
        <f t="shared" si="23"/>
        <v>0</v>
      </c>
      <c r="G253" s="684"/>
      <c r="H253" s="684"/>
      <c r="I253" s="684"/>
      <c r="J253" s="684"/>
      <c r="K253" s="684"/>
      <c r="L253" s="684"/>
      <c r="M253" s="684"/>
      <c r="N253" s="688">
        <f t="shared" si="24"/>
        <v>0</v>
      </c>
      <c r="O253" s="1112">
        <f t="shared" si="25"/>
        <v>0</v>
      </c>
    </row>
    <row r="254" spans="1:15">
      <c r="A254" s="1007"/>
      <c r="B254" s="1136"/>
      <c r="C254" s="1019"/>
      <c r="D254" s="1019"/>
      <c r="E254" s="684"/>
      <c r="F254" s="1077">
        <f t="shared" si="23"/>
        <v>0</v>
      </c>
      <c r="G254" s="684"/>
      <c r="H254" s="684"/>
      <c r="I254" s="684"/>
      <c r="J254" s="684"/>
      <c r="K254" s="684"/>
      <c r="L254" s="684"/>
      <c r="M254" s="684"/>
      <c r="N254" s="688">
        <f t="shared" si="24"/>
        <v>0</v>
      </c>
      <c r="O254" s="1112">
        <f t="shared" si="25"/>
        <v>0</v>
      </c>
    </row>
    <row r="255" spans="1:15">
      <c r="A255" s="1007"/>
      <c r="B255" s="1136"/>
      <c r="C255" s="1019"/>
      <c r="D255" s="1019"/>
      <c r="E255" s="684"/>
      <c r="F255" s="1077">
        <f t="shared" si="23"/>
        <v>0</v>
      </c>
      <c r="G255" s="684"/>
      <c r="H255" s="684"/>
      <c r="I255" s="684"/>
      <c r="J255" s="684"/>
      <c r="K255" s="684"/>
      <c r="L255" s="684"/>
      <c r="M255" s="684"/>
      <c r="N255" s="688">
        <f t="shared" si="24"/>
        <v>0</v>
      </c>
      <c r="O255" s="1112">
        <f t="shared" si="25"/>
        <v>0</v>
      </c>
    </row>
    <row r="256" spans="1:15">
      <c r="A256" s="1007"/>
      <c r="B256" s="1136"/>
      <c r="C256" s="1019"/>
      <c r="D256" s="1019"/>
      <c r="E256" s="684"/>
      <c r="F256" s="1077">
        <f t="shared" si="23"/>
        <v>0</v>
      </c>
      <c r="G256" s="684"/>
      <c r="H256" s="684"/>
      <c r="I256" s="684"/>
      <c r="J256" s="684"/>
      <c r="K256" s="684"/>
      <c r="L256" s="684"/>
      <c r="M256" s="684"/>
      <c r="N256" s="688">
        <f t="shared" si="24"/>
        <v>0</v>
      </c>
      <c r="O256" s="1112">
        <f t="shared" si="25"/>
        <v>0</v>
      </c>
    </row>
    <row r="257" spans="1:15">
      <c r="A257" s="1007"/>
      <c r="B257" s="1136"/>
      <c r="C257" s="1019"/>
      <c r="D257" s="1019"/>
      <c r="E257" s="684"/>
      <c r="F257" s="1077">
        <f t="shared" si="23"/>
        <v>0</v>
      </c>
      <c r="G257" s="684"/>
      <c r="H257" s="684"/>
      <c r="I257" s="684"/>
      <c r="J257" s="684"/>
      <c r="K257" s="684"/>
      <c r="L257" s="684"/>
      <c r="M257" s="684"/>
      <c r="N257" s="688">
        <f t="shared" si="24"/>
        <v>0</v>
      </c>
      <c r="O257" s="1112">
        <f t="shared" si="25"/>
        <v>0</v>
      </c>
    </row>
    <row r="258" spans="1:15">
      <c r="A258" s="1007"/>
      <c r="B258" s="1136"/>
      <c r="C258" s="1019"/>
      <c r="D258" s="1019"/>
      <c r="E258" s="684"/>
      <c r="F258" s="1077">
        <f t="shared" si="23"/>
        <v>0</v>
      </c>
      <c r="G258" s="684"/>
      <c r="H258" s="684"/>
      <c r="I258" s="684"/>
      <c r="J258" s="684"/>
      <c r="K258" s="684"/>
      <c r="L258" s="684"/>
      <c r="M258" s="684"/>
      <c r="N258" s="688">
        <f t="shared" si="24"/>
        <v>0</v>
      </c>
      <c r="O258" s="1112">
        <f t="shared" si="25"/>
        <v>0</v>
      </c>
    </row>
    <row r="259" spans="1:15">
      <c r="A259" s="1007"/>
      <c r="B259" s="1136"/>
      <c r="C259" s="1019"/>
      <c r="D259" s="1019"/>
      <c r="E259" s="684"/>
      <c r="F259" s="1077">
        <f t="shared" si="23"/>
        <v>0</v>
      </c>
      <c r="G259" s="684"/>
      <c r="H259" s="684"/>
      <c r="I259" s="684"/>
      <c r="J259" s="684"/>
      <c r="K259" s="684"/>
      <c r="L259" s="684"/>
      <c r="M259" s="684"/>
      <c r="N259" s="688">
        <f t="shared" si="24"/>
        <v>0</v>
      </c>
      <c r="O259" s="1112">
        <f t="shared" si="25"/>
        <v>0</v>
      </c>
    </row>
    <row r="260" spans="1:15">
      <c r="A260" s="1007"/>
      <c r="B260" s="1136"/>
      <c r="C260" s="1019"/>
      <c r="D260" s="1019"/>
      <c r="E260" s="684"/>
      <c r="F260" s="1077">
        <f t="shared" si="23"/>
        <v>0</v>
      </c>
      <c r="G260" s="684"/>
      <c r="H260" s="684"/>
      <c r="I260" s="684"/>
      <c r="J260" s="684"/>
      <c r="K260" s="684"/>
      <c r="L260" s="684"/>
      <c r="M260" s="684"/>
      <c r="N260" s="688">
        <f t="shared" si="24"/>
        <v>0</v>
      </c>
      <c r="O260" s="1112">
        <f t="shared" si="25"/>
        <v>0</v>
      </c>
    </row>
    <row r="261" spans="1:15">
      <c r="A261" s="1007"/>
      <c r="B261" s="1136"/>
      <c r="C261" s="1019"/>
      <c r="D261" s="1019"/>
      <c r="E261" s="684"/>
      <c r="F261" s="1077">
        <f t="shared" si="23"/>
        <v>0</v>
      </c>
      <c r="G261" s="684"/>
      <c r="H261" s="684"/>
      <c r="I261" s="684"/>
      <c r="J261" s="684"/>
      <c r="K261" s="684"/>
      <c r="L261" s="684"/>
      <c r="M261" s="684"/>
      <c r="N261" s="688">
        <f t="shared" si="24"/>
        <v>0</v>
      </c>
      <c r="O261" s="1112">
        <f t="shared" si="25"/>
        <v>0</v>
      </c>
    </row>
    <row r="262" spans="1:15">
      <c r="A262" s="1007"/>
      <c r="B262" s="1136"/>
      <c r="C262" s="1019"/>
      <c r="D262" s="1019"/>
      <c r="E262" s="684"/>
      <c r="F262" s="1077">
        <f t="shared" si="23"/>
        <v>0</v>
      </c>
      <c r="G262" s="684"/>
      <c r="H262" s="684"/>
      <c r="I262" s="684"/>
      <c r="J262" s="684"/>
      <c r="K262" s="684"/>
      <c r="L262" s="684"/>
      <c r="M262" s="684"/>
      <c r="N262" s="688">
        <f t="shared" si="24"/>
        <v>0</v>
      </c>
      <c r="O262" s="1112">
        <f t="shared" si="25"/>
        <v>0</v>
      </c>
    </row>
    <row r="263" spans="1:15">
      <c r="A263" s="1007"/>
      <c r="B263" s="1136"/>
      <c r="C263" s="1019"/>
      <c r="D263" s="1019"/>
      <c r="E263" s="684"/>
      <c r="F263" s="1077">
        <f t="shared" si="23"/>
        <v>0</v>
      </c>
      <c r="G263" s="684"/>
      <c r="H263" s="684"/>
      <c r="I263" s="684"/>
      <c r="J263" s="684"/>
      <c r="K263" s="684"/>
      <c r="L263" s="684"/>
      <c r="M263" s="684"/>
      <c r="N263" s="688">
        <f t="shared" si="24"/>
        <v>0</v>
      </c>
      <c r="O263" s="1112">
        <f t="shared" si="25"/>
        <v>0</v>
      </c>
    </row>
    <row r="264" spans="1:15">
      <c r="A264" s="1007"/>
      <c r="B264" s="1136"/>
      <c r="C264" s="1019"/>
      <c r="D264" s="1019"/>
      <c r="E264" s="684"/>
      <c r="F264" s="1077">
        <f t="shared" si="23"/>
        <v>0</v>
      </c>
      <c r="G264" s="684"/>
      <c r="H264" s="684"/>
      <c r="I264" s="684"/>
      <c r="J264" s="684"/>
      <c r="K264" s="684"/>
      <c r="L264" s="684"/>
      <c r="M264" s="684"/>
      <c r="N264" s="688">
        <f t="shared" si="24"/>
        <v>0</v>
      </c>
      <c r="O264" s="1112">
        <f t="shared" si="25"/>
        <v>0</v>
      </c>
    </row>
    <row r="265" spans="1:15">
      <c r="A265" s="1007"/>
      <c r="B265" s="1136"/>
      <c r="C265" s="1019"/>
      <c r="D265" s="1019"/>
      <c r="E265" s="684"/>
      <c r="F265" s="1077">
        <f t="shared" si="23"/>
        <v>0</v>
      </c>
      <c r="G265" s="684"/>
      <c r="H265" s="684"/>
      <c r="I265" s="684"/>
      <c r="J265" s="684"/>
      <c r="K265" s="684"/>
      <c r="L265" s="684"/>
      <c r="M265" s="684"/>
      <c r="N265" s="688">
        <f t="shared" si="24"/>
        <v>0</v>
      </c>
      <c r="O265" s="1112">
        <f t="shared" si="25"/>
        <v>0</v>
      </c>
    </row>
    <row r="266" spans="1:15">
      <c r="A266" s="1007"/>
      <c r="B266" s="1136"/>
      <c r="C266" s="1019"/>
      <c r="D266" s="1019"/>
      <c r="E266" s="684"/>
      <c r="F266" s="1077">
        <f t="shared" si="23"/>
        <v>0</v>
      </c>
      <c r="G266" s="684"/>
      <c r="H266" s="684"/>
      <c r="I266" s="684"/>
      <c r="J266" s="684"/>
      <c r="K266" s="684"/>
      <c r="L266" s="684"/>
      <c r="M266" s="684"/>
      <c r="N266" s="688">
        <f t="shared" si="24"/>
        <v>0</v>
      </c>
      <c r="O266" s="1112">
        <f t="shared" ref="O266:O268" si="26">IF(ISERROR(N266/B266),0,(N266/B266))</f>
        <v>0</v>
      </c>
    </row>
    <row r="267" spans="1:15">
      <c r="A267" s="1007"/>
      <c r="B267" s="1136"/>
      <c r="C267" s="1019"/>
      <c r="D267" s="1019"/>
      <c r="E267" s="684"/>
      <c r="F267" s="1077">
        <f t="shared" si="23"/>
        <v>0</v>
      </c>
      <c r="G267" s="684"/>
      <c r="H267" s="684"/>
      <c r="I267" s="684"/>
      <c r="J267" s="684"/>
      <c r="K267" s="684"/>
      <c r="L267" s="684"/>
      <c r="M267" s="684"/>
      <c r="N267" s="688">
        <f t="shared" si="24"/>
        <v>0</v>
      </c>
      <c r="O267" s="1112">
        <f t="shared" si="26"/>
        <v>0</v>
      </c>
    </row>
    <row r="268" spans="1:15">
      <c r="A268" s="1007"/>
      <c r="B268" s="1136"/>
      <c r="C268" s="1019"/>
      <c r="D268" s="1019"/>
      <c r="E268" s="684"/>
      <c r="F268" s="1077">
        <f t="shared" si="23"/>
        <v>0</v>
      </c>
      <c r="G268" s="684"/>
      <c r="H268" s="684"/>
      <c r="I268" s="684"/>
      <c r="J268" s="684"/>
      <c r="K268" s="684"/>
      <c r="L268" s="684"/>
      <c r="M268" s="684"/>
      <c r="N268" s="688">
        <f t="shared" si="24"/>
        <v>0</v>
      </c>
      <c r="O268" s="1112">
        <f t="shared" si="26"/>
        <v>0</v>
      </c>
    </row>
    <row r="269" spans="1:15">
      <c r="A269" s="1007"/>
      <c r="B269" s="1136"/>
      <c r="C269" s="1019"/>
      <c r="D269" s="1019"/>
      <c r="E269" s="684"/>
      <c r="F269" s="1077">
        <f t="shared" si="23"/>
        <v>0</v>
      </c>
      <c r="G269" s="684"/>
      <c r="H269" s="684"/>
      <c r="I269" s="684"/>
      <c r="J269" s="684"/>
      <c r="K269" s="684"/>
      <c r="L269" s="684"/>
      <c r="M269" s="684"/>
      <c r="N269" s="688">
        <f t="shared" si="24"/>
        <v>0</v>
      </c>
      <c r="O269" s="1112">
        <f>IF(ISERROR(N269/B269),0,(N269/B269))</f>
        <v>0</v>
      </c>
    </row>
    <row r="270" spans="1:15">
      <c r="A270" s="1007"/>
      <c r="B270" s="1136"/>
      <c r="C270" s="1019"/>
      <c r="D270" s="1019"/>
      <c r="E270" s="684"/>
      <c r="F270" s="1077">
        <f t="shared" si="23"/>
        <v>0</v>
      </c>
      <c r="G270" s="684"/>
      <c r="H270" s="684"/>
      <c r="I270" s="684"/>
      <c r="J270" s="684"/>
      <c r="K270" s="684"/>
      <c r="L270" s="684"/>
      <c r="M270" s="684"/>
      <c r="N270" s="688">
        <f t="shared" si="24"/>
        <v>0</v>
      </c>
      <c r="O270" s="1112">
        <f>IF(ISERROR(N270/B270),0,(N270/B270))</f>
        <v>0</v>
      </c>
    </row>
    <row r="271" spans="1:15">
      <c r="A271" s="1007"/>
      <c r="B271" s="1136"/>
      <c r="C271" s="1019"/>
      <c r="D271" s="1019"/>
      <c r="E271" s="684"/>
      <c r="F271" s="1077">
        <f t="shared" si="23"/>
        <v>0</v>
      </c>
      <c r="G271" s="684"/>
      <c r="H271" s="684"/>
      <c r="I271" s="684"/>
      <c r="J271" s="684"/>
      <c r="K271" s="684"/>
      <c r="L271" s="684"/>
      <c r="M271" s="684"/>
      <c r="N271" s="688">
        <f t="shared" si="24"/>
        <v>0</v>
      </c>
      <c r="O271" s="1112">
        <f t="shared" ref="O271:O273" si="27">IF(ISERROR(N271/B271),0,(N271/B271))</f>
        <v>0</v>
      </c>
    </row>
    <row r="272" spans="1:15">
      <c r="A272" s="1007"/>
      <c r="B272" s="1136"/>
      <c r="C272" s="1019"/>
      <c r="D272" s="1019"/>
      <c r="E272" s="684"/>
      <c r="F272" s="1077">
        <f t="shared" si="23"/>
        <v>0</v>
      </c>
      <c r="G272" s="684"/>
      <c r="H272" s="684"/>
      <c r="I272" s="684"/>
      <c r="J272" s="684"/>
      <c r="K272" s="684"/>
      <c r="L272" s="684"/>
      <c r="M272" s="684"/>
      <c r="N272" s="688">
        <f t="shared" si="24"/>
        <v>0</v>
      </c>
      <c r="O272" s="1112">
        <f t="shared" si="27"/>
        <v>0</v>
      </c>
    </row>
    <row r="273" spans="1:21" ht="13.5" thickBot="1">
      <c r="A273" s="1007"/>
      <c r="B273" s="1136"/>
      <c r="C273" s="1020"/>
      <c r="D273" s="1020"/>
      <c r="E273" s="685"/>
      <c r="F273" s="1077">
        <f t="shared" si="23"/>
        <v>0</v>
      </c>
      <c r="G273" s="685"/>
      <c r="H273" s="685"/>
      <c r="I273" s="685"/>
      <c r="J273" s="685"/>
      <c r="K273" s="685"/>
      <c r="L273" s="685"/>
      <c r="M273" s="685"/>
      <c r="N273" s="688">
        <f t="shared" si="24"/>
        <v>0</v>
      </c>
      <c r="O273" s="1112">
        <f t="shared" si="27"/>
        <v>0</v>
      </c>
    </row>
    <row r="274" spans="1:21" ht="13.5" thickBot="1">
      <c r="A274" s="1126" t="s">
        <v>633</v>
      </c>
      <c r="B274" s="764">
        <f>SUM(B249:B273)</f>
        <v>0</v>
      </c>
      <c r="C274" s="686"/>
      <c r="D274" s="686"/>
      <c r="E274" s="686"/>
      <c r="F274" s="997">
        <f>IF(ISERROR(SUM(F249:F273)/B274),0,(SUM(F249:F273)/B274))</f>
        <v>0</v>
      </c>
      <c r="G274" s="997">
        <f>IF(ISERROR(SUM(G249:G273)/B274),0,(SUM(G249:G273)/B274))</f>
        <v>0</v>
      </c>
      <c r="H274" s="997">
        <f>IF(ISERROR(SUM(H249:H273)/B274),0,(SUM(H249:H273)/B274))</f>
        <v>0</v>
      </c>
      <c r="I274" s="997">
        <f>IF(ISERROR(SUM(I249:I273)/B274),0,(SUM(I249:I273)/B274))</f>
        <v>0</v>
      </c>
      <c r="J274" s="997">
        <f>IF(ISERROR(SUM(J249:J273)/B274),0,(SUM(J249:J273)/B274))</f>
        <v>0</v>
      </c>
      <c r="K274" s="997">
        <f>IF(ISERROR(SUM(K249:K273)/B274),0,(SUM(K249:K273)/B274))</f>
        <v>0</v>
      </c>
      <c r="L274" s="1001">
        <f>IF(ISERROR(SUM(L249:L273)/B274),0,(SUM(L249:L273)/B274))</f>
        <v>0</v>
      </c>
      <c r="M274" s="997">
        <f>IF(ISERROR(SUM(M249:M273)/B274),0,(SUM(M249:M273)/B274))</f>
        <v>0</v>
      </c>
      <c r="N274" s="998">
        <f>SUM(N249:N273)</f>
        <v>0</v>
      </c>
      <c r="O274" s="1003">
        <f>IFERROR(SUM(N274/B274),0)</f>
        <v>0</v>
      </c>
      <c r="U274" s="826"/>
    </row>
    <row r="275" spans="1:21">
      <c r="A275" s="1114"/>
      <c r="B275" s="687"/>
      <c r="C275" s="687"/>
      <c r="D275" s="687"/>
      <c r="E275" s="687"/>
      <c r="F275" s="687"/>
      <c r="G275" s="687"/>
      <c r="H275" s="687"/>
      <c r="I275" s="687"/>
      <c r="J275" s="687"/>
      <c r="K275" s="687"/>
      <c r="L275" s="687"/>
      <c r="M275" s="687"/>
      <c r="N275" s="1096"/>
      <c r="O275" s="1117"/>
    </row>
    <row r="276" spans="1:21">
      <c r="A276" s="1124" t="s">
        <v>634</v>
      </c>
      <c r="B276" s="687"/>
      <c r="C276" s="687"/>
      <c r="D276" s="687"/>
      <c r="E276" s="687"/>
      <c r="F276" s="687"/>
      <c r="G276" s="687"/>
      <c r="H276" s="1416" t="str">
        <f>IF($H$13&gt;0,"Beiträge zur Altersvorsorge NICHT in Spalte bAV, betriebliche Zulagen erfassen","")</f>
        <v/>
      </c>
      <c r="I276" s="1416"/>
      <c r="J276" s="1416"/>
      <c r="K276" s="1416"/>
      <c r="L276" s="1416"/>
      <c r="M276" s="1416"/>
      <c r="N276" s="1416"/>
      <c r="O276" s="1417"/>
    </row>
    <row r="277" spans="1:21">
      <c r="A277" s="1008"/>
      <c r="B277" s="1136"/>
      <c r="C277" s="1019"/>
      <c r="D277" s="1019"/>
      <c r="E277" s="684"/>
      <c r="F277" s="1077">
        <f t="shared" ref="F277:F296" si="28">IFERROR(E277*B277,"")</f>
        <v>0</v>
      </c>
      <c r="G277" s="684"/>
      <c r="H277" s="684"/>
      <c r="I277" s="684"/>
      <c r="J277" s="684"/>
      <c r="K277" s="684"/>
      <c r="L277" s="684"/>
      <c r="M277" s="684"/>
      <c r="N277" s="688">
        <f t="shared" ref="N277:N296" si="29">IFERROR(IF(A277&lt;&gt;"GfB",(SUM(F277:J277)*12+(L277+M277))*(100+$H$12+$H$13)%+(K277*12),(SUM(F277:J277)*12+(L277+M277))*(100+$H$15+$H$13)%+(K277*12)),0)</f>
        <v>0</v>
      </c>
      <c r="O277" s="1112">
        <f t="shared" ref="O277:O296" si="30">IF(ISERROR(N277/B277),0,(N277/B277))</f>
        <v>0</v>
      </c>
    </row>
    <row r="278" spans="1:21">
      <c r="A278" s="1007"/>
      <c r="B278" s="1136"/>
      <c r="C278" s="1019"/>
      <c r="D278" s="1019"/>
      <c r="E278" s="684"/>
      <c r="F278" s="1077">
        <f t="shared" si="28"/>
        <v>0</v>
      </c>
      <c r="G278" s="684"/>
      <c r="H278" s="684"/>
      <c r="I278" s="684"/>
      <c r="J278" s="684"/>
      <c r="K278" s="684"/>
      <c r="L278" s="684"/>
      <c r="M278" s="684"/>
      <c r="N278" s="688">
        <f t="shared" si="29"/>
        <v>0</v>
      </c>
      <c r="O278" s="1112">
        <f t="shared" ref="O278:O292" si="31">IF(ISERROR(N278/B278),0,(N278/B278))</f>
        <v>0</v>
      </c>
    </row>
    <row r="279" spans="1:21">
      <c r="A279" s="1007"/>
      <c r="B279" s="1136"/>
      <c r="C279" s="1019"/>
      <c r="D279" s="1019"/>
      <c r="E279" s="684"/>
      <c r="F279" s="1077">
        <f t="shared" si="28"/>
        <v>0</v>
      </c>
      <c r="G279" s="684"/>
      <c r="H279" s="684"/>
      <c r="I279" s="684"/>
      <c r="J279" s="684"/>
      <c r="K279" s="684"/>
      <c r="L279" s="684"/>
      <c r="M279" s="684"/>
      <c r="N279" s="688">
        <f t="shared" si="29"/>
        <v>0</v>
      </c>
      <c r="O279" s="1112">
        <f t="shared" si="31"/>
        <v>0</v>
      </c>
    </row>
    <row r="280" spans="1:21">
      <c r="A280" s="1007"/>
      <c r="B280" s="1136"/>
      <c r="C280" s="1019"/>
      <c r="D280" s="1019"/>
      <c r="E280" s="684"/>
      <c r="F280" s="1077">
        <f t="shared" si="28"/>
        <v>0</v>
      </c>
      <c r="G280" s="684"/>
      <c r="H280" s="684"/>
      <c r="I280" s="684"/>
      <c r="J280" s="684"/>
      <c r="K280" s="684"/>
      <c r="L280" s="684"/>
      <c r="M280" s="684"/>
      <c r="N280" s="688">
        <f t="shared" si="29"/>
        <v>0</v>
      </c>
      <c r="O280" s="1112">
        <f t="shared" si="31"/>
        <v>0</v>
      </c>
    </row>
    <row r="281" spans="1:21">
      <c r="A281" s="1007"/>
      <c r="B281" s="1136"/>
      <c r="C281" s="1019"/>
      <c r="D281" s="1019"/>
      <c r="E281" s="684"/>
      <c r="F281" s="1077">
        <f t="shared" si="28"/>
        <v>0</v>
      </c>
      <c r="G281" s="684"/>
      <c r="H281" s="684"/>
      <c r="I281" s="684"/>
      <c r="J281" s="684"/>
      <c r="K281" s="684"/>
      <c r="L281" s="684"/>
      <c r="M281" s="684"/>
      <c r="N281" s="688">
        <f t="shared" si="29"/>
        <v>0</v>
      </c>
      <c r="O281" s="1112">
        <f t="shared" si="31"/>
        <v>0</v>
      </c>
    </row>
    <row r="282" spans="1:21">
      <c r="A282" s="1007"/>
      <c r="B282" s="1136"/>
      <c r="C282" s="1019"/>
      <c r="D282" s="1019"/>
      <c r="E282" s="684"/>
      <c r="F282" s="1077">
        <f t="shared" si="28"/>
        <v>0</v>
      </c>
      <c r="G282" s="684"/>
      <c r="H282" s="684"/>
      <c r="I282" s="684"/>
      <c r="J282" s="684"/>
      <c r="K282" s="684"/>
      <c r="L282" s="684"/>
      <c r="M282" s="684"/>
      <c r="N282" s="688">
        <f t="shared" si="29"/>
        <v>0</v>
      </c>
      <c r="O282" s="1112">
        <f t="shared" si="31"/>
        <v>0</v>
      </c>
    </row>
    <row r="283" spans="1:21">
      <c r="A283" s="1007"/>
      <c r="B283" s="1136"/>
      <c r="C283" s="1019"/>
      <c r="D283" s="1019"/>
      <c r="E283" s="684"/>
      <c r="F283" s="1077">
        <f t="shared" si="28"/>
        <v>0</v>
      </c>
      <c r="G283" s="684"/>
      <c r="H283" s="684"/>
      <c r="I283" s="684"/>
      <c r="J283" s="684"/>
      <c r="K283" s="684"/>
      <c r="L283" s="684"/>
      <c r="M283" s="684"/>
      <c r="N283" s="688">
        <f t="shared" si="29"/>
        <v>0</v>
      </c>
      <c r="O283" s="1112">
        <f t="shared" si="31"/>
        <v>0</v>
      </c>
    </row>
    <row r="284" spans="1:21">
      <c r="A284" s="1007"/>
      <c r="B284" s="1136"/>
      <c r="C284" s="1019"/>
      <c r="D284" s="1019"/>
      <c r="E284" s="684"/>
      <c r="F284" s="1077">
        <f t="shared" si="28"/>
        <v>0</v>
      </c>
      <c r="G284" s="684"/>
      <c r="H284" s="684"/>
      <c r="I284" s="684"/>
      <c r="J284" s="684"/>
      <c r="K284" s="684"/>
      <c r="L284" s="684"/>
      <c r="M284" s="684"/>
      <c r="N284" s="688">
        <f t="shared" si="29"/>
        <v>0</v>
      </c>
      <c r="O284" s="1112">
        <f t="shared" si="31"/>
        <v>0</v>
      </c>
    </row>
    <row r="285" spans="1:21">
      <c r="A285" s="1007"/>
      <c r="B285" s="1136"/>
      <c r="C285" s="1019"/>
      <c r="D285" s="1019"/>
      <c r="E285" s="684"/>
      <c r="F285" s="1077">
        <f t="shared" si="28"/>
        <v>0</v>
      </c>
      <c r="G285" s="684"/>
      <c r="H285" s="684"/>
      <c r="I285" s="684"/>
      <c r="J285" s="684"/>
      <c r="K285" s="684"/>
      <c r="L285" s="684"/>
      <c r="M285" s="684"/>
      <c r="N285" s="688">
        <f t="shared" si="29"/>
        <v>0</v>
      </c>
      <c r="O285" s="1112">
        <f t="shared" si="31"/>
        <v>0</v>
      </c>
    </row>
    <row r="286" spans="1:21">
      <c r="A286" s="1007"/>
      <c r="B286" s="1136"/>
      <c r="C286" s="1019"/>
      <c r="D286" s="1019"/>
      <c r="E286" s="684"/>
      <c r="F286" s="1077">
        <f t="shared" si="28"/>
        <v>0</v>
      </c>
      <c r="G286" s="684"/>
      <c r="H286" s="684"/>
      <c r="I286" s="684"/>
      <c r="J286" s="684"/>
      <c r="K286" s="684"/>
      <c r="L286" s="684"/>
      <c r="M286" s="684"/>
      <c r="N286" s="688">
        <f t="shared" si="29"/>
        <v>0</v>
      </c>
      <c r="O286" s="1112">
        <f t="shared" si="31"/>
        <v>0</v>
      </c>
    </row>
    <row r="287" spans="1:21">
      <c r="A287" s="1007"/>
      <c r="B287" s="1136"/>
      <c r="C287" s="1019"/>
      <c r="D287" s="1019"/>
      <c r="E287" s="684"/>
      <c r="F287" s="1077">
        <f t="shared" si="28"/>
        <v>0</v>
      </c>
      <c r="G287" s="684"/>
      <c r="H287" s="684"/>
      <c r="I287" s="684"/>
      <c r="J287" s="684"/>
      <c r="K287" s="684"/>
      <c r="L287" s="684"/>
      <c r="M287" s="684"/>
      <c r="N287" s="688">
        <f t="shared" si="29"/>
        <v>0</v>
      </c>
      <c r="O287" s="1112">
        <f t="shared" si="31"/>
        <v>0</v>
      </c>
    </row>
    <row r="288" spans="1:21">
      <c r="A288" s="1007"/>
      <c r="B288" s="1136"/>
      <c r="C288" s="1019"/>
      <c r="D288" s="1019"/>
      <c r="E288" s="684"/>
      <c r="F288" s="1077">
        <f t="shared" si="28"/>
        <v>0</v>
      </c>
      <c r="G288" s="684"/>
      <c r="H288" s="684"/>
      <c r="I288" s="684"/>
      <c r="J288" s="684"/>
      <c r="K288" s="684"/>
      <c r="L288" s="684"/>
      <c r="M288" s="684"/>
      <c r="N288" s="688">
        <f t="shared" si="29"/>
        <v>0</v>
      </c>
      <c r="O288" s="1112">
        <f t="shared" si="31"/>
        <v>0</v>
      </c>
    </row>
    <row r="289" spans="1:15">
      <c r="A289" s="1007"/>
      <c r="B289" s="1136"/>
      <c r="C289" s="1019"/>
      <c r="D289" s="1019"/>
      <c r="E289" s="684"/>
      <c r="F289" s="1077">
        <f t="shared" si="28"/>
        <v>0</v>
      </c>
      <c r="G289" s="684"/>
      <c r="H289" s="684"/>
      <c r="I289" s="684"/>
      <c r="J289" s="684"/>
      <c r="K289" s="684"/>
      <c r="L289" s="684"/>
      <c r="M289" s="684"/>
      <c r="N289" s="688">
        <f t="shared" si="29"/>
        <v>0</v>
      </c>
      <c r="O289" s="1112">
        <f t="shared" si="31"/>
        <v>0</v>
      </c>
    </row>
    <row r="290" spans="1:15">
      <c r="A290" s="1007"/>
      <c r="B290" s="1136"/>
      <c r="C290" s="1019"/>
      <c r="D290" s="1019"/>
      <c r="E290" s="684"/>
      <c r="F290" s="1077">
        <f t="shared" si="28"/>
        <v>0</v>
      </c>
      <c r="G290" s="684"/>
      <c r="H290" s="684"/>
      <c r="I290" s="684"/>
      <c r="J290" s="684"/>
      <c r="K290" s="684"/>
      <c r="L290" s="684"/>
      <c r="M290" s="684"/>
      <c r="N290" s="688">
        <f t="shared" si="29"/>
        <v>0</v>
      </c>
      <c r="O290" s="1112">
        <f t="shared" si="31"/>
        <v>0</v>
      </c>
    </row>
    <row r="291" spans="1:15">
      <c r="A291" s="1007"/>
      <c r="B291" s="1136"/>
      <c r="C291" s="1019"/>
      <c r="D291" s="1019"/>
      <c r="E291" s="684"/>
      <c r="F291" s="1077">
        <f t="shared" si="28"/>
        <v>0</v>
      </c>
      <c r="G291" s="684"/>
      <c r="H291" s="684"/>
      <c r="I291" s="684"/>
      <c r="J291" s="684"/>
      <c r="K291" s="684"/>
      <c r="L291" s="684"/>
      <c r="M291" s="684"/>
      <c r="N291" s="688">
        <f t="shared" si="29"/>
        <v>0</v>
      </c>
      <c r="O291" s="1112">
        <f t="shared" si="31"/>
        <v>0</v>
      </c>
    </row>
    <row r="292" spans="1:15">
      <c r="A292" s="1007"/>
      <c r="B292" s="1136"/>
      <c r="C292" s="1019"/>
      <c r="D292" s="1019"/>
      <c r="E292" s="684"/>
      <c r="F292" s="1077">
        <f t="shared" si="28"/>
        <v>0</v>
      </c>
      <c r="G292" s="684"/>
      <c r="H292" s="684"/>
      <c r="I292" s="684"/>
      <c r="J292" s="684"/>
      <c r="K292" s="684"/>
      <c r="L292" s="684"/>
      <c r="M292" s="684"/>
      <c r="N292" s="688">
        <f t="shared" si="29"/>
        <v>0</v>
      </c>
      <c r="O292" s="1112">
        <f t="shared" si="31"/>
        <v>0</v>
      </c>
    </row>
    <row r="293" spans="1:15">
      <c r="A293" s="1007"/>
      <c r="B293" s="1136"/>
      <c r="C293" s="1019"/>
      <c r="D293" s="1019"/>
      <c r="E293" s="684"/>
      <c r="F293" s="1077">
        <f t="shared" si="28"/>
        <v>0</v>
      </c>
      <c r="G293" s="684"/>
      <c r="H293" s="684"/>
      <c r="I293" s="684"/>
      <c r="J293" s="684"/>
      <c r="K293" s="684"/>
      <c r="L293" s="684"/>
      <c r="M293" s="684"/>
      <c r="N293" s="688">
        <f t="shared" si="29"/>
        <v>0</v>
      </c>
      <c r="O293" s="1112">
        <f t="shared" si="30"/>
        <v>0</v>
      </c>
    </row>
    <row r="294" spans="1:15">
      <c r="A294" s="1007"/>
      <c r="B294" s="1136"/>
      <c r="C294" s="1019"/>
      <c r="D294" s="1019"/>
      <c r="E294" s="684"/>
      <c r="F294" s="1077">
        <f t="shared" si="28"/>
        <v>0</v>
      </c>
      <c r="G294" s="684"/>
      <c r="H294" s="684"/>
      <c r="I294" s="684"/>
      <c r="J294" s="684"/>
      <c r="K294" s="684"/>
      <c r="L294" s="684"/>
      <c r="M294" s="684"/>
      <c r="N294" s="688">
        <f t="shared" si="29"/>
        <v>0</v>
      </c>
      <c r="O294" s="1112">
        <f t="shared" si="30"/>
        <v>0</v>
      </c>
    </row>
    <row r="295" spans="1:15">
      <c r="A295" s="1007"/>
      <c r="B295" s="1136"/>
      <c r="C295" s="1019"/>
      <c r="D295" s="1019"/>
      <c r="E295" s="684"/>
      <c r="F295" s="1077">
        <f t="shared" si="28"/>
        <v>0</v>
      </c>
      <c r="G295" s="684"/>
      <c r="H295" s="684"/>
      <c r="I295" s="684"/>
      <c r="J295" s="684"/>
      <c r="K295" s="684"/>
      <c r="L295" s="684"/>
      <c r="M295" s="684"/>
      <c r="N295" s="688">
        <f t="shared" si="29"/>
        <v>0</v>
      </c>
      <c r="O295" s="1112">
        <f t="shared" si="30"/>
        <v>0</v>
      </c>
    </row>
    <row r="296" spans="1:15" ht="13.5" thickBot="1">
      <c r="A296" s="1007"/>
      <c r="B296" s="1136"/>
      <c r="C296" s="1019"/>
      <c r="D296" s="1019"/>
      <c r="E296" s="684"/>
      <c r="F296" s="1077">
        <f t="shared" si="28"/>
        <v>0</v>
      </c>
      <c r="G296" s="684"/>
      <c r="H296" s="684"/>
      <c r="I296" s="684"/>
      <c r="J296" s="684"/>
      <c r="K296" s="684"/>
      <c r="L296" s="684"/>
      <c r="M296" s="684"/>
      <c r="N296" s="688">
        <f t="shared" si="29"/>
        <v>0</v>
      </c>
      <c r="O296" s="1112">
        <f t="shared" si="30"/>
        <v>0</v>
      </c>
    </row>
    <row r="297" spans="1:15" ht="13.5" thickBot="1">
      <c r="A297" s="1126" t="s">
        <v>635</v>
      </c>
      <c r="B297" s="764">
        <f>SUM(B277:B296)</f>
        <v>0</v>
      </c>
      <c r="C297" s="686"/>
      <c r="D297" s="686"/>
      <c r="E297" s="686"/>
      <c r="F297" s="997">
        <f>IF(ISERROR(SUM(F277:F296)/B297),0,(SUM(F277:F296)/B297))</f>
        <v>0</v>
      </c>
      <c r="G297" s="997">
        <f>IF(ISERROR(SUM(G277:G296)/B297),0,(SUM(G277:G296)/B297))</f>
        <v>0</v>
      </c>
      <c r="H297" s="997">
        <f>IF(ISERROR(SUM(H277:H296)/B297),0,(SUM(H277:H296)/B297))</f>
        <v>0</v>
      </c>
      <c r="I297" s="997">
        <f>IF(ISERROR(SUM(I277:I296)/B297),0,(SUM(I277:I296)/B297))</f>
        <v>0</v>
      </c>
      <c r="J297" s="997">
        <f>IF(ISERROR(SUM(J277:J296)/B297),0,(SUM(J277:J296)/B297))</f>
        <v>0</v>
      </c>
      <c r="K297" s="997">
        <f>IF(ISERROR(SUM(K277:K296)/B297),0,(SUM(K277:K296)/B297))</f>
        <v>0</v>
      </c>
      <c r="L297" s="1001">
        <f>IF(ISERROR(SUM(L277:L296)/B297),0,(SUM(L277:L296)/B297))</f>
        <v>0</v>
      </c>
      <c r="M297" s="997">
        <f>IF(ISERROR(SUM(M277:M296)/B297),0,(SUM(M277:M296)/B297))</f>
        <v>0</v>
      </c>
      <c r="N297" s="998">
        <f>SUM(N277:N296)</f>
        <v>0</v>
      </c>
      <c r="O297" s="1003">
        <f>IFERROR(SUM(N297/B297),0)</f>
        <v>0</v>
      </c>
    </row>
    <row r="298" spans="1:15">
      <c r="A298" s="1114"/>
      <c r="B298" s="687"/>
      <c r="C298" s="687"/>
      <c r="D298" s="687"/>
      <c r="E298" s="687"/>
      <c r="F298" s="687"/>
      <c r="G298" s="687"/>
      <c r="H298" s="687"/>
      <c r="I298" s="687"/>
      <c r="J298" s="687"/>
      <c r="K298" s="687"/>
      <c r="L298" s="687"/>
      <c r="M298" s="687"/>
      <c r="N298" s="1096"/>
      <c r="O298" s="1117"/>
    </row>
    <row r="299" spans="1:15">
      <c r="A299" s="1124" t="s">
        <v>636</v>
      </c>
      <c r="B299" s="687"/>
      <c r="C299" s="687"/>
      <c r="D299" s="687"/>
      <c r="E299" s="687"/>
      <c r="F299" s="687"/>
      <c r="G299" s="687"/>
      <c r="H299" s="1416" t="str">
        <f>IF($H$13&gt;0,"Beiträge zur Altersvorsorge NICHT in Spalte bAV, betriebliche Zulagen erfassen","")</f>
        <v/>
      </c>
      <c r="I299" s="1416"/>
      <c r="J299" s="1416"/>
      <c r="K299" s="1416"/>
      <c r="L299" s="1416"/>
      <c r="M299" s="1416"/>
      <c r="N299" s="1416"/>
      <c r="O299" s="1417"/>
    </row>
    <row r="300" spans="1:15">
      <c r="A300" s="1008"/>
      <c r="B300" s="1136"/>
      <c r="C300" s="1019"/>
      <c r="D300" s="1019"/>
      <c r="E300" s="684"/>
      <c r="F300" s="1077">
        <f t="shared" ref="F300:F329" si="32">IFERROR(E300*B300,"")</f>
        <v>0</v>
      </c>
      <c r="G300" s="684"/>
      <c r="H300" s="684"/>
      <c r="I300" s="684"/>
      <c r="J300" s="684"/>
      <c r="K300" s="684"/>
      <c r="L300" s="684"/>
      <c r="M300" s="684"/>
      <c r="N300" s="688">
        <f t="shared" ref="N300:N329" si="33">IFERROR(IF(A300&lt;&gt;"GfB",(SUM(F300:J300)*12+(L300+M300))*(100+$H$12+$H$13)%+(K300*12),(SUM(F300:J300)*12+(L300+M300))*(100+$H$15+$H$13)%+(K300*12)),0)</f>
        <v>0</v>
      </c>
      <c r="O300" s="1112">
        <f t="shared" ref="O300:O329" si="34">IF(ISERROR(N300/B300),0,(N300/B300))</f>
        <v>0</v>
      </c>
    </row>
    <row r="301" spans="1:15">
      <c r="A301" s="1007"/>
      <c r="B301" s="1136"/>
      <c r="C301" s="1019"/>
      <c r="D301" s="1019"/>
      <c r="E301" s="684"/>
      <c r="F301" s="1077">
        <f t="shared" si="32"/>
        <v>0</v>
      </c>
      <c r="G301" s="684"/>
      <c r="H301" s="684"/>
      <c r="I301" s="684"/>
      <c r="J301" s="684"/>
      <c r="K301" s="684"/>
      <c r="L301" s="684"/>
      <c r="M301" s="684"/>
      <c r="N301" s="688">
        <f t="shared" si="33"/>
        <v>0</v>
      </c>
      <c r="O301" s="1112">
        <f t="shared" ref="O301:O321" si="35">IF(ISERROR(N301/B301),0,(N301/B301))</f>
        <v>0</v>
      </c>
    </row>
    <row r="302" spans="1:15">
      <c r="A302" s="1007"/>
      <c r="B302" s="1136"/>
      <c r="C302" s="1019"/>
      <c r="D302" s="1019"/>
      <c r="E302" s="684"/>
      <c r="F302" s="1077">
        <f t="shared" si="32"/>
        <v>0</v>
      </c>
      <c r="G302" s="684"/>
      <c r="H302" s="684"/>
      <c r="I302" s="684"/>
      <c r="J302" s="684"/>
      <c r="K302" s="684"/>
      <c r="L302" s="684"/>
      <c r="M302" s="684"/>
      <c r="N302" s="688">
        <f t="shared" si="33"/>
        <v>0</v>
      </c>
      <c r="O302" s="1112">
        <f t="shared" si="35"/>
        <v>0</v>
      </c>
    </row>
    <row r="303" spans="1:15">
      <c r="A303" s="1007"/>
      <c r="B303" s="1136"/>
      <c r="C303" s="1019"/>
      <c r="D303" s="1019"/>
      <c r="E303" s="684"/>
      <c r="F303" s="1077">
        <f t="shared" si="32"/>
        <v>0</v>
      </c>
      <c r="G303" s="684"/>
      <c r="H303" s="684"/>
      <c r="I303" s="684"/>
      <c r="J303" s="684"/>
      <c r="K303" s="684"/>
      <c r="L303" s="684"/>
      <c r="M303" s="684"/>
      <c r="N303" s="688">
        <f t="shared" si="33"/>
        <v>0</v>
      </c>
      <c r="O303" s="1112">
        <f t="shared" si="35"/>
        <v>0</v>
      </c>
    </row>
    <row r="304" spans="1:15">
      <c r="A304" s="1007"/>
      <c r="B304" s="1136"/>
      <c r="C304" s="1019"/>
      <c r="D304" s="1019"/>
      <c r="E304" s="684"/>
      <c r="F304" s="1077">
        <f t="shared" si="32"/>
        <v>0</v>
      </c>
      <c r="G304" s="684"/>
      <c r="H304" s="684"/>
      <c r="I304" s="684"/>
      <c r="J304" s="684"/>
      <c r="K304" s="684"/>
      <c r="L304" s="684"/>
      <c r="M304" s="684"/>
      <c r="N304" s="688">
        <f t="shared" si="33"/>
        <v>0</v>
      </c>
      <c r="O304" s="1112">
        <f t="shared" si="35"/>
        <v>0</v>
      </c>
    </row>
    <row r="305" spans="1:15">
      <c r="A305" s="1007"/>
      <c r="B305" s="1136"/>
      <c r="C305" s="1019"/>
      <c r="D305" s="1019"/>
      <c r="E305" s="684"/>
      <c r="F305" s="1077">
        <f t="shared" si="32"/>
        <v>0</v>
      </c>
      <c r="G305" s="684"/>
      <c r="H305" s="684"/>
      <c r="I305" s="684"/>
      <c r="J305" s="684"/>
      <c r="K305" s="684"/>
      <c r="L305" s="684"/>
      <c r="M305" s="684"/>
      <c r="N305" s="688">
        <f t="shared" si="33"/>
        <v>0</v>
      </c>
      <c r="O305" s="1112">
        <f t="shared" si="35"/>
        <v>0</v>
      </c>
    </row>
    <row r="306" spans="1:15">
      <c r="A306" s="1007"/>
      <c r="B306" s="1136"/>
      <c r="C306" s="1019"/>
      <c r="D306" s="1019"/>
      <c r="E306" s="684"/>
      <c r="F306" s="1077">
        <f t="shared" si="32"/>
        <v>0</v>
      </c>
      <c r="G306" s="684"/>
      <c r="H306" s="684"/>
      <c r="I306" s="684"/>
      <c r="J306" s="684"/>
      <c r="K306" s="684"/>
      <c r="L306" s="684"/>
      <c r="M306" s="684"/>
      <c r="N306" s="688">
        <f t="shared" si="33"/>
        <v>0</v>
      </c>
      <c r="O306" s="1112">
        <f t="shared" si="35"/>
        <v>0</v>
      </c>
    </row>
    <row r="307" spans="1:15">
      <c r="A307" s="1007"/>
      <c r="B307" s="1136"/>
      <c r="C307" s="1019"/>
      <c r="D307" s="1019"/>
      <c r="E307" s="684"/>
      <c r="F307" s="1077">
        <f t="shared" si="32"/>
        <v>0</v>
      </c>
      <c r="G307" s="684"/>
      <c r="H307" s="684"/>
      <c r="I307" s="684"/>
      <c r="J307" s="684"/>
      <c r="K307" s="684"/>
      <c r="L307" s="684"/>
      <c r="M307" s="684"/>
      <c r="N307" s="688">
        <f t="shared" si="33"/>
        <v>0</v>
      </c>
      <c r="O307" s="1112">
        <f t="shared" si="35"/>
        <v>0</v>
      </c>
    </row>
    <row r="308" spans="1:15">
      <c r="A308" s="1007"/>
      <c r="B308" s="1136"/>
      <c r="C308" s="1019"/>
      <c r="D308" s="1019"/>
      <c r="E308" s="684"/>
      <c r="F308" s="1077">
        <f t="shared" si="32"/>
        <v>0</v>
      </c>
      <c r="G308" s="684"/>
      <c r="H308" s="684"/>
      <c r="I308" s="684"/>
      <c r="J308" s="684"/>
      <c r="K308" s="684"/>
      <c r="L308" s="684"/>
      <c r="M308" s="684"/>
      <c r="N308" s="688">
        <f t="shared" si="33"/>
        <v>0</v>
      </c>
      <c r="O308" s="1112">
        <f t="shared" si="35"/>
        <v>0</v>
      </c>
    </row>
    <row r="309" spans="1:15">
      <c r="A309" s="1007"/>
      <c r="B309" s="1136"/>
      <c r="C309" s="1019"/>
      <c r="D309" s="1019"/>
      <c r="E309" s="684"/>
      <c r="F309" s="1077">
        <f t="shared" si="32"/>
        <v>0</v>
      </c>
      <c r="G309" s="684"/>
      <c r="H309" s="684"/>
      <c r="I309" s="684"/>
      <c r="J309" s="684"/>
      <c r="K309" s="684"/>
      <c r="L309" s="684"/>
      <c r="M309" s="684"/>
      <c r="N309" s="688">
        <f t="shared" si="33"/>
        <v>0</v>
      </c>
      <c r="O309" s="1112">
        <f t="shared" si="35"/>
        <v>0</v>
      </c>
    </row>
    <row r="310" spans="1:15">
      <c r="A310" s="1007"/>
      <c r="B310" s="1136"/>
      <c r="C310" s="1019"/>
      <c r="D310" s="1019"/>
      <c r="E310" s="684"/>
      <c r="F310" s="1077">
        <f t="shared" si="32"/>
        <v>0</v>
      </c>
      <c r="G310" s="684"/>
      <c r="H310" s="684"/>
      <c r="I310" s="684"/>
      <c r="J310" s="684"/>
      <c r="K310" s="684"/>
      <c r="L310" s="684"/>
      <c r="M310" s="684"/>
      <c r="N310" s="688">
        <f t="shared" si="33"/>
        <v>0</v>
      </c>
      <c r="O310" s="1112">
        <f t="shared" si="35"/>
        <v>0</v>
      </c>
    </row>
    <row r="311" spans="1:15">
      <c r="A311" s="1007"/>
      <c r="B311" s="1136"/>
      <c r="C311" s="1019"/>
      <c r="D311" s="1019"/>
      <c r="E311" s="684"/>
      <c r="F311" s="1077">
        <f t="shared" si="32"/>
        <v>0</v>
      </c>
      <c r="G311" s="684"/>
      <c r="H311" s="684"/>
      <c r="I311" s="684"/>
      <c r="J311" s="684"/>
      <c r="K311" s="684"/>
      <c r="L311" s="684"/>
      <c r="M311" s="684"/>
      <c r="N311" s="688">
        <f t="shared" si="33"/>
        <v>0</v>
      </c>
      <c r="O311" s="1112">
        <f t="shared" si="35"/>
        <v>0</v>
      </c>
    </row>
    <row r="312" spans="1:15">
      <c r="A312" s="1007"/>
      <c r="B312" s="1136"/>
      <c r="C312" s="1019"/>
      <c r="D312" s="1019"/>
      <c r="E312" s="684"/>
      <c r="F312" s="1077">
        <f t="shared" si="32"/>
        <v>0</v>
      </c>
      <c r="G312" s="684"/>
      <c r="H312" s="684"/>
      <c r="I312" s="684"/>
      <c r="J312" s="684"/>
      <c r="K312" s="684"/>
      <c r="L312" s="684"/>
      <c r="M312" s="684"/>
      <c r="N312" s="688">
        <f t="shared" si="33"/>
        <v>0</v>
      </c>
      <c r="O312" s="1112">
        <f t="shared" si="35"/>
        <v>0</v>
      </c>
    </row>
    <row r="313" spans="1:15">
      <c r="A313" s="1007"/>
      <c r="B313" s="1136"/>
      <c r="C313" s="1019"/>
      <c r="D313" s="1019"/>
      <c r="E313" s="684"/>
      <c r="F313" s="1077">
        <f t="shared" si="32"/>
        <v>0</v>
      </c>
      <c r="G313" s="684"/>
      <c r="H313" s="684"/>
      <c r="I313" s="684"/>
      <c r="J313" s="684"/>
      <c r="K313" s="684"/>
      <c r="L313" s="684"/>
      <c r="M313" s="684"/>
      <c r="N313" s="688">
        <f t="shared" si="33"/>
        <v>0</v>
      </c>
      <c r="O313" s="1112">
        <f t="shared" si="35"/>
        <v>0</v>
      </c>
    </row>
    <row r="314" spans="1:15">
      <c r="A314" s="1007"/>
      <c r="B314" s="1136"/>
      <c r="C314" s="1019"/>
      <c r="D314" s="1019"/>
      <c r="E314" s="684"/>
      <c r="F314" s="1077">
        <f t="shared" si="32"/>
        <v>0</v>
      </c>
      <c r="G314" s="684"/>
      <c r="H314" s="684"/>
      <c r="I314" s="684"/>
      <c r="J314" s="684"/>
      <c r="K314" s="684"/>
      <c r="L314" s="684"/>
      <c r="M314" s="684"/>
      <c r="N314" s="688">
        <f t="shared" si="33"/>
        <v>0</v>
      </c>
      <c r="O314" s="1112">
        <f t="shared" si="35"/>
        <v>0</v>
      </c>
    </row>
    <row r="315" spans="1:15">
      <c r="A315" s="1007"/>
      <c r="B315" s="1136"/>
      <c r="C315" s="1019"/>
      <c r="D315" s="1019"/>
      <c r="E315" s="684"/>
      <c r="F315" s="1077">
        <f t="shared" si="32"/>
        <v>0</v>
      </c>
      <c r="G315" s="684"/>
      <c r="H315" s="684"/>
      <c r="I315" s="684"/>
      <c r="J315" s="684"/>
      <c r="K315" s="684"/>
      <c r="L315" s="684"/>
      <c r="M315" s="684"/>
      <c r="N315" s="688">
        <f t="shared" si="33"/>
        <v>0</v>
      </c>
      <c r="O315" s="1112">
        <f t="shared" si="35"/>
        <v>0</v>
      </c>
    </row>
    <row r="316" spans="1:15">
      <c r="A316" s="1007"/>
      <c r="B316" s="1136"/>
      <c r="C316" s="1019"/>
      <c r="D316" s="1019"/>
      <c r="E316" s="684"/>
      <c r="F316" s="1077">
        <f t="shared" si="32"/>
        <v>0</v>
      </c>
      <c r="G316" s="684"/>
      <c r="H316" s="684"/>
      <c r="I316" s="684"/>
      <c r="J316" s="684"/>
      <c r="K316" s="684"/>
      <c r="L316" s="684"/>
      <c r="M316" s="684"/>
      <c r="N316" s="688">
        <f t="shared" si="33"/>
        <v>0</v>
      </c>
      <c r="O316" s="1112">
        <f t="shared" si="35"/>
        <v>0</v>
      </c>
    </row>
    <row r="317" spans="1:15">
      <c r="A317" s="1007"/>
      <c r="B317" s="1136"/>
      <c r="C317" s="1019"/>
      <c r="D317" s="1019"/>
      <c r="E317" s="684"/>
      <c r="F317" s="1077">
        <f t="shared" si="32"/>
        <v>0</v>
      </c>
      <c r="G317" s="684"/>
      <c r="H317" s="684"/>
      <c r="I317" s="684"/>
      <c r="J317" s="684"/>
      <c r="K317" s="684"/>
      <c r="L317" s="684"/>
      <c r="M317" s="684"/>
      <c r="N317" s="688">
        <f t="shared" si="33"/>
        <v>0</v>
      </c>
      <c r="O317" s="1112">
        <f t="shared" si="35"/>
        <v>0</v>
      </c>
    </row>
    <row r="318" spans="1:15">
      <c r="A318" s="1007"/>
      <c r="B318" s="1136"/>
      <c r="C318" s="1019"/>
      <c r="D318" s="1019"/>
      <c r="E318" s="684"/>
      <c r="F318" s="1077">
        <f t="shared" si="32"/>
        <v>0</v>
      </c>
      <c r="G318" s="684"/>
      <c r="H318" s="684"/>
      <c r="I318" s="684"/>
      <c r="J318" s="684"/>
      <c r="K318" s="684"/>
      <c r="L318" s="684"/>
      <c r="M318" s="684"/>
      <c r="N318" s="688">
        <f t="shared" si="33"/>
        <v>0</v>
      </c>
      <c r="O318" s="1112">
        <f t="shared" si="35"/>
        <v>0</v>
      </c>
    </row>
    <row r="319" spans="1:15">
      <c r="A319" s="1007"/>
      <c r="B319" s="1136"/>
      <c r="C319" s="1019"/>
      <c r="D319" s="1019"/>
      <c r="E319" s="684"/>
      <c r="F319" s="1077">
        <f t="shared" si="32"/>
        <v>0</v>
      </c>
      <c r="G319" s="684"/>
      <c r="H319" s="684"/>
      <c r="I319" s="684"/>
      <c r="J319" s="684"/>
      <c r="K319" s="684"/>
      <c r="L319" s="684"/>
      <c r="M319" s="684"/>
      <c r="N319" s="688">
        <f t="shared" si="33"/>
        <v>0</v>
      </c>
      <c r="O319" s="1112">
        <f t="shared" si="35"/>
        <v>0</v>
      </c>
    </row>
    <row r="320" spans="1:15">
      <c r="A320" s="1007"/>
      <c r="B320" s="1136"/>
      <c r="C320" s="1019"/>
      <c r="D320" s="1019"/>
      <c r="E320" s="684"/>
      <c r="F320" s="1077">
        <f t="shared" si="32"/>
        <v>0</v>
      </c>
      <c r="G320" s="684"/>
      <c r="H320" s="684"/>
      <c r="I320" s="684"/>
      <c r="J320" s="684"/>
      <c r="K320" s="684"/>
      <c r="L320" s="684"/>
      <c r="M320" s="684"/>
      <c r="N320" s="688">
        <f t="shared" si="33"/>
        <v>0</v>
      </c>
      <c r="O320" s="1112">
        <f t="shared" si="35"/>
        <v>0</v>
      </c>
    </row>
    <row r="321" spans="1:21">
      <c r="A321" s="1007"/>
      <c r="B321" s="1136"/>
      <c r="C321" s="1019"/>
      <c r="D321" s="1019"/>
      <c r="E321" s="684"/>
      <c r="F321" s="1077">
        <f t="shared" si="32"/>
        <v>0</v>
      </c>
      <c r="G321" s="684"/>
      <c r="H321" s="684"/>
      <c r="I321" s="684"/>
      <c r="J321" s="684"/>
      <c r="K321" s="684"/>
      <c r="L321" s="684"/>
      <c r="M321" s="684"/>
      <c r="N321" s="688">
        <f t="shared" si="33"/>
        <v>0</v>
      </c>
      <c r="O321" s="1112">
        <f t="shared" si="35"/>
        <v>0</v>
      </c>
    </row>
    <row r="322" spans="1:21">
      <c r="A322" s="1007"/>
      <c r="B322" s="1136"/>
      <c r="C322" s="1019"/>
      <c r="D322" s="1019"/>
      <c r="E322" s="684"/>
      <c r="F322" s="1077">
        <f t="shared" si="32"/>
        <v>0</v>
      </c>
      <c r="G322" s="684"/>
      <c r="H322" s="684"/>
      <c r="I322" s="684"/>
      <c r="J322" s="684"/>
      <c r="K322" s="684"/>
      <c r="L322" s="684"/>
      <c r="M322" s="684"/>
      <c r="N322" s="688">
        <f t="shared" si="33"/>
        <v>0</v>
      </c>
      <c r="O322" s="1112">
        <f t="shared" si="34"/>
        <v>0</v>
      </c>
    </row>
    <row r="323" spans="1:21">
      <c r="A323" s="1007"/>
      <c r="B323" s="1136"/>
      <c r="C323" s="1019"/>
      <c r="D323" s="1019"/>
      <c r="E323" s="684"/>
      <c r="F323" s="1077">
        <f t="shared" si="32"/>
        <v>0</v>
      </c>
      <c r="G323" s="684"/>
      <c r="H323" s="684"/>
      <c r="I323" s="684"/>
      <c r="J323" s="684"/>
      <c r="K323" s="684"/>
      <c r="L323" s="684"/>
      <c r="M323" s="684"/>
      <c r="N323" s="688">
        <f t="shared" si="33"/>
        <v>0</v>
      </c>
      <c r="O323" s="1112">
        <f t="shared" si="34"/>
        <v>0</v>
      </c>
    </row>
    <row r="324" spans="1:21">
      <c r="A324" s="1007"/>
      <c r="B324" s="1136"/>
      <c r="C324" s="1019"/>
      <c r="D324" s="1019"/>
      <c r="E324" s="684"/>
      <c r="F324" s="1077">
        <f t="shared" si="32"/>
        <v>0</v>
      </c>
      <c r="G324" s="684"/>
      <c r="H324" s="684"/>
      <c r="I324" s="684"/>
      <c r="J324" s="684"/>
      <c r="K324" s="684"/>
      <c r="L324" s="684"/>
      <c r="M324" s="684"/>
      <c r="N324" s="688">
        <f t="shared" si="33"/>
        <v>0</v>
      </c>
      <c r="O324" s="1112">
        <f t="shared" si="34"/>
        <v>0</v>
      </c>
    </row>
    <row r="325" spans="1:21">
      <c r="A325" s="1007"/>
      <c r="B325" s="1136"/>
      <c r="C325" s="1019"/>
      <c r="D325" s="1019"/>
      <c r="E325" s="684"/>
      <c r="F325" s="1077">
        <f t="shared" si="32"/>
        <v>0</v>
      </c>
      <c r="G325" s="684"/>
      <c r="H325" s="684"/>
      <c r="I325" s="684"/>
      <c r="J325" s="684"/>
      <c r="K325" s="684"/>
      <c r="L325" s="684"/>
      <c r="M325" s="684"/>
      <c r="N325" s="688">
        <f t="shared" si="33"/>
        <v>0</v>
      </c>
      <c r="O325" s="1112">
        <f t="shared" si="34"/>
        <v>0</v>
      </c>
    </row>
    <row r="326" spans="1:21">
      <c r="A326" s="1007"/>
      <c r="B326" s="1136"/>
      <c r="C326" s="1019"/>
      <c r="D326" s="1019"/>
      <c r="E326" s="684"/>
      <c r="F326" s="1077">
        <f t="shared" si="32"/>
        <v>0</v>
      </c>
      <c r="G326" s="684"/>
      <c r="H326" s="684"/>
      <c r="I326" s="684"/>
      <c r="J326" s="684"/>
      <c r="K326" s="684"/>
      <c r="L326" s="684"/>
      <c r="M326" s="684"/>
      <c r="N326" s="688">
        <f t="shared" si="33"/>
        <v>0</v>
      </c>
      <c r="O326" s="1112">
        <f t="shared" si="34"/>
        <v>0</v>
      </c>
    </row>
    <row r="327" spans="1:21">
      <c r="A327" s="1007"/>
      <c r="B327" s="1136"/>
      <c r="C327" s="1019"/>
      <c r="D327" s="1019"/>
      <c r="E327" s="684"/>
      <c r="F327" s="1077">
        <f t="shared" si="32"/>
        <v>0</v>
      </c>
      <c r="G327" s="684"/>
      <c r="H327" s="684"/>
      <c r="I327" s="684"/>
      <c r="J327" s="684"/>
      <c r="K327" s="684"/>
      <c r="L327" s="684"/>
      <c r="M327" s="684"/>
      <c r="N327" s="688">
        <f t="shared" si="33"/>
        <v>0</v>
      </c>
      <c r="O327" s="1112">
        <f t="shared" si="34"/>
        <v>0</v>
      </c>
    </row>
    <row r="328" spans="1:21">
      <c r="A328" s="1007"/>
      <c r="B328" s="1136"/>
      <c r="C328" s="1019"/>
      <c r="D328" s="1019"/>
      <c r="E328" s="684"/>
      <c r="F328" s="1077">
        <f t="shared" si="32"/>
        <v>0</v>
      </c>
      <c r="G328" s="684"/>
      <c r="H328" s="684"/>
      <c r="I328" s="684"/>
      <c r="J328" s="684"/>
      <c r="K328" s="684"/>
      <c r="L328" s="684"/>
      <c r="M328" s="684"/>
      <c r="N328" s="688">
        <f t="shared" si="33"/>
        <v>0</v>
      </c>
      <c r="O328" s="1112">
        <f t="shared" si="34"/>
        <v>0</v>
      </c>
    </row>
    <row r="329" spans="1:21" ht="13.5" thickBot="1">
      <c r="A329" s="1007"/>
      <c r="B329" s="1136"/>
      <c r="C329" s="1019"/>
      <c r="D329" s="1019"/>
      <c r="E329" s="684"/>
      <c r="F329" s="1077">
        <f t="shared" si="32"/>
        <v>0</v>
      </c>
      <c r="G329" s="684"/>
      <c r="H329" s="684"/>
      <c r="I329" s="684"/>
      <c r="J329" s="684"/>
      <c r="K329" s="684"/>
      <c r="L329" s="684"/>
      <c r="M329" s="684"/>
      <c r="N329" s="688">
        <f t="shared" si="33"/>
        <v>0</v>
      </c>
      <c r="O329" s="1112">
        <f t="shared" si="34"/>
        <v>0</v>
      </c>
    </row>
    <row r="330" spans="1:21" ht="13.5" thickBot="1">
      <c r="A330" s="1126" t="s">
        <v>637</v>
      </c>
      <c r="B330" s="764">
        <f>SUM(B300:B329)</f>
        <v>0</v>
      </c>
      <c r="C330" s="686"/>
      <c r="D330" s="686"/>
      <c r="E330" s="686"/>
      <c r="F330" s="997">
        <f>IF(ISERROR(SUM(F300:F329)/B330),0,(SUM(F300:F329)/B330))</f>
        <v>0</v>
      </c>
      <c r="G330" s="997">
        <f>IF(ISERROR(SUM(G300:G329)/B330),0,(SUM(G300:G329)/B330))</f>
        <v>0</v>
      </c>
      <c r="H330" s="997">
        <f>IF(ISERROR(SUM(H300:H329)/B330),0,(SUM(H300:H329)/B330))</f>
        <v>0</v>
      </c>
      <c r="I330" s="997">
        <f>IF(ISERROR(SUM(I300:I329)/B330),0,(SUM(I300:I329)/B330))</f>
        <v>0</v>
      </c>
      <c r="J330" s="997">
        <f>IF(ISERROR(SUM(J300:J329)/B330),0,(SUM(J300:J329)/B330))</f>
        <v>0</v>
      </c>
      <c r="K330" s="997">
        <f>IF(ISERROR(SUM(K300:K329)/B330),0,(SUM(K300:K329)/B330))</f>
        <v>0</v>
      </c>
      <c r="L330" s="1001">
        <f>IF(ISERROR(SUM(L300:L329)/B330),0,(SUM(L300:L329)/B330))</f>
        <v>0</v>
      </c>
      <c r="M330" s="997">
        <f>IF(ISERROR(SUM(M300:M329)/B330),0,(SUM(M300:M329)/B330))</f>
        <v>0</v>
      </c>
      <c r="N330" s="998">
        <f>SUM(N300:N329)</f>
        <v>0</v>
      </c>
      <c r="O330" s="1003">
        <f>IFERROR(SUM(N330/B330),0)</f>
        <v>0</v>
      </c>
      <c r="U330" s="826"/>
    </row>
    <row r="331" spans="1:21">
      <c r="A331" s="1114"/>
      <c r="B331" s="687"/>
      <c r="C331" s="687"/>
      <c r="D331" s="687"/>
      <c r="E331" s="687"/>
      <c r="F331" s="687"/>
      <c r="G331" s="687"/>
      <c r="H331" s="687"/>
      <c r="I331" s="687"/>
      <c r="J331" s="687"/>
      <c r="K331" s="687"/>
      <c r="L331" s="687"/>
      <c r="M331" s="687"/>
      <c r="N331" s="1096"/>
      <c r="O331" s="1117"/>
    </row>
    <row r="332" spans="1:21">
      <c r="A332" s="1124" t="s">
        <v>638</v>
      </c>
      <c r="B332" s="687"/>
      <c r="C332" s="687"/>
      <c r="D332" s="687"/>
      <c r="E332" s="687"/>
      <c r="F332" s="687"/>
      <c r="G332" s="687"/>
      <c r="H332" s="1416" t="str">
        <f>IF($H$13&gt;0,"Beiträge zur Altersvorsorge NICHT in Spalte bAV, betriebliche Zulagen erfassen","")</f>
        <v/>
      </c>
      <c r="I332" s="1416"/>
      <c r="J332" s="1416"/>
      <c r="K332" s="1416"/>
      <c r="L332" s="1416"/>
      <c r="M332" s="1416"/>
      <c r="N332" s="1416"/>
      <c r="O332" s="1417"/>
    </row>
    <row r="333" spans="1:21">
      <c r="A333" s="1008"/>
      <c r="B333" s="1136"/>
      <c r="C333" s="1019"/>
      <c r="D333" s="1019"/>
      <c r="E333" s="684"/>
      <c r="F333" s="1077">
        <f t="shared" ref="F333:F362" si="36">IFERROR(E333*B333,"")</f>
        <v>0</v>
      </c>
      <c r="G333" s="684"/>
      <c r="H333" s="684"/>
      <c r="I333" s="684"/>
      <c r="J333" s="684"/>
      <c r="K333" s="684"/>
      <c r="L333" s="684"/>
      <c r="M333" s="684"/>
      <c r="N333" s="688">
        <f t="shared" ref="N333:N362" si="37">IFERROR(IF(A333&lt;&gt;"GfB",(SUM(F333:J333)*12+(L333+M333))*(100+$H$12+$H$13)%+(K333*12),(SUM(F333:J333)*12+(L333+M333))*(100+$H$15+$H$13)%+(K333*12)),0)</f>
        <v>0</v>
      </c>
      <c r="O333" s="1112">
        <f t="shared" ref="O333:O362" si="38">IF(ISERROR(N333/B333),0,(N333/B333))</f>
        <v>0</v>
      </c>
    </row>
    <row r="334" spans="1:21">
      <c r="A334" s="1007"/>
      <c r="B334" s="1136"/>
      <c r="C334" s="1019"/>
      <c r="D334" s="1019"/>
      <c r="E334" s="684"/>
      <c r="F334" s="1077">
        <f t="shared" si="36"/>
        <v>0</v>
      </c>
      <c r="G334" s="684"/>
      <c r="H334" s="684"/>
      <c r="I334" s="684"/>
      <c r="J334" s="684"/>
      <c r="K334" s="684"/>
      <c r="L334" s="684"/>
      <c r="M334" s="684"/>
      <c r="N334" s="688">
        <f t="shared" si="37"/>
        <v>0</v>
      </c>
      <c r="O334" s="1112">
        <f t="shared" ref="O334:O354" si="39">IF(ISERROR(N334/B334),0,(N334/B334))</f>
        <v>0</v>
      </c>
    </row>
    <row r="335" spans="1:21">
      <c r="A335" s="1007"/>
      <c r="B335" s="1136"/>
      <c r="C335" s="1019"/>
      <c r="D335" s="1019"/>
      <c r="E335" s="684"/>
      <c r="F335" s="1077">
        <f t="shared" si="36"/>
        <v>0</v>
      </c>
      <c r="G335" s="684"/>
      <c r="H335" s="684"/>
      <c r="I335" s="684"/>
      <c r="J335" s="684"/>
      <c r="K335" s="684"/>
      <c r="L335" s="684"/>
      <c r="M335" s="684"/>
      <c r="N335" s="688">
        <f t="shared" si="37"/>
        <v>0</v>
      </c>
      <c r="O335" s="1112">
        <f t="shared" si="39"/>
        <v>0</v>
      </c>
    </row>
    <row r="336" spans="1:21">
      <c r="A336" s="1007"/>
      <c r="B336" s="1136"/>
      <c r="C336" s="1019"/>
      <c r="D336" s="1019"/>
      <c r="E336" s="684"/>
      <c r="F336" s="1077">
        <f t="shared" si="36"/>
        <v>0</v>
      </c>
      <c r="G336" s="684"/>
      <c r="H336" s="684"/>
      <c r="I336" s="684"/>
      <c r="J336" s="684"/>
      <c r="K336" s="684"/>
      <c r="L336" s="684"/>
      <c r="M336" s="684"/>
      <c r="N336" s="688">
        <f t="shared" si="37"/>
        <v>0</v>
      </c>
      <c r="O336" s="1112">
        <f t="shared" si="39"/>
        <v>0</v>
      </c>
    </row>
    <row r="337" spans="1:15">
      <c r="A337" s="1007"/>
      <c r="B337" s="1136"/>
      <c r="C337" s="1019"/>
      <c r="D337" s="1019"/>
      <c r="E337" s="684"/>
      <c r="F337" s="1077">
        <f t="shared" si="36"/>
        <v>0</v>
      </c>
      <c r="G337" s="684"/>
      <c r="H337" s="684"/>
      <c r="I337" s="684"/>
      <c r="J337" s="684"/>
      <c r="K337" s="684"/>
      <c r="L337" s="684"/>
      <c r="M337" s="684"/>
      <c r="N337" s="688">
        <f t="shared" si="37"/>
        <v>0</v>
      </c>
      <c r="O337" s="1112">
        <f t="shared" si="39"/>
        <v>0</v>
      </c>
    </row>
    <row r="338" spans="1:15">
      <c r="A338" s="1007"/>
      <c r="B338" s="1136"/>
      <c r="C338" s="1019"/>
      <c r="D338" s="1019"/>
      <c r="E338" s="684"/>
      <c r="F338" s="1077">
        <f t="shared" si="36"/>
        <v>0</v>
      </c>
      <c r="G338" s="684"/>
      <c r="H338" s="684"/>
      <c r="I338" s="684"/>
      <c r="J338" s="684"/>
      <c r="K338" s="684"/>
      <c r="L338" s="684"/>
      <c r="M338" s="684"/>
      <c r="N338" s="688">
        <f t="shared" si="37"/>
        <v>0</v>
      </c>
      <c r="O338" s="1112">
        <f t="shared" si="39"/>
        <v>0</v>
      </c>
    </row>
    <row r="339" spans="1:15">
      <c r="A339" s="1007"/>
      <c r="B339" s="1136"/>
      <c r="C339" s="1019"/>
      <c r="D339" s="1019"/>
      <c r="E339" s="684"/>
      <c r="F339" s="1077">
        <f t="shared" si="36"/>
        <v>0</v>
      </c>
      <c r="G339" s="684"/>
      <c r="H339" s="684"/>
      <c r="I339" s="684"/>
      <c r="J339" s="684"/>
      <c r="K339" s="684"/>
      <c r="L339" s="684"/>
      <c r="M339" s="684"/>
      <c r="N339" s="688">
        <f t="shared" si="37"/>
        <v>0</v>
      </c>
      <c r="O339" s="1112">
        <f t="shared" si="39"/>
        <v>0</v>
      </c>
    </row>
    <row r="340" spans="1:15">
      <c r="A340" s="1007"/>
      <c r="B340" s="1136"/>
      <c r="C340" s="1019"/>
      <c r="D340" s="1019"/>
      <c r="E340" s="684"/>
      <c r="F340" s="1077">
        <f t="shared" si="36"/>
        <v>0</v>
      </c>
      <c r="G340" s="684"/>
      <c r="H340" s="684"/>
      <c r="I340" s="684"/>
      <c r="J340" s="684"/>
      <c r="K340" s="684"/>
      <c r="L340" s="684"/>
      <c r="M340" s="684"/>
      <c r="N340" s="688">
        <f t="shared" si="37"/>
        <v>0</v>
      </c>
      <c r="O340" s="1112">
        <f t="shared" si="39"/>
        <v>0</v>
      </c>
    </row>
    <row r="341" spans="1:15">
      <c r="A341" s="1007"/>
      <c r="B341" s="1136"/>
      <c r="C341" s="1019"/>
      <c r="D341" s="1019"/>
      <c r="E341" s="684"/>
      <c r="F341" s="1077">
        <f t="shared" si="36"/>
        <v>0</v>
      </c>
      <c r="G341" s="684"/>
      <c r="H341" s="684"/>
      <c r="I341" s="684"/>
      <c r="J341" s="684"/>
      <c r="K341" s="684"/>
      <c r="L341" s="684"/>
      <c r="M341" s="684"/>
      <c r="N341" s="688">
        <f t="shared" si="37"/>
        <v>0</v>
      </c>
      <c r="O341" s="1112">
        <f t="shared" si="39"/>
        <v>0</v>
      </c>
    </row>
    <row r="342" spans="1:15">
      <c r="A342" s="1007"/>
      <c r="B342" s="1136"/>
      <c r="C342" s="1019"/>
      <c r="D342" s="1019"/>
      <c r="E342" s="684"/>
      <c r="F342" s="1077">
        <f t="shared" si="36"/>
        <v>0</v>
      </c>
      <c r="G342" s="684"/>
      <c r="H342" s="684"/>
      <c r="I342" s="684"/>
      <c r="J342" s="684"/>
      <c r="K342" s="684"/>
      <c r="L342" s="684"/>
      <c r="M342" s="684"/>
      <c r="N342" s="688">
        <f t="shared" si="37"/>
        <v>0</v>
      </c>
      <c r="O342" s="1112">
        <f t="shared" si="39"/>
        <v>0</v>
      </c>
    </row>
    <row r="343" spans="1:15">
      <c r="A343" s="1007"/>
      <c r="B343" s="1136"/>
      <c r="C343" s="1019"/>
      <c r="D343" s="1019"/>
      <c r="E343" s="684"/>
      <c r="F343" s="1077">
        <f t="shared" si="36"/>
        <v>0</v>
      </c>
      <c r="G343" s="684"/>
      <c r="H343" s="684"/>
      <c r="I343" s="684"/>
      <c r="J343" s="684"/>
      <c r="K343" s="684"/>
      <c r="L343" s="684"/>
      <c r="M343" s="684"/>
      <c r="N343" s="688">
        <f t="shared" si="37"/>
        <v>0</v>
      </c>
      <c r="O343" s="1112">
        <f t="shared" si="39"/>
        <v>0</v>
      </c>
    </row>
    <row r="344" spans="1:15">
      <c r="A344" s="1007"/>
      <c r="B344" s="1136"/>
      <c r="C344" s="1019"/>
      <c r="D344" s="1019"/>
      <c r="E344" s="684"/>
      <c r="F344" s="1077">
        <f t="shared" si="36"/>
        <v>0</v>
      </c>
      <c r="G344" s="684"/>
      <c r="H344" s="684"/>
      <c r="I344" s="684"/>
      <c r="J344" s="684"/>
      <c r="K344" s="684"/>
      <c r="L344" s="684"/>
      <c r="M344" s="684"/>
      <c r="N344" s="688">
        <f t="shared" si="37"/>
        <v>0</v>
      </c>
      <c r="O344" s="1112">
        <f t="shared" si="39"/>
        <v>0</v>
      </c>
    </row>
    <row r="345" spans="1:15">
      <c r="A345" s="1007"/>
      <c r="B345" s="1136"/>
      <c r="C345" s="1019"/>
      <c r="D345" s="1019"/>
      <c r="E345" s="684"/>
      <c r="F345" s="1077">
        <f t="shared" si="36"/>
        <v>0</v>
      </c>
      <c r="G345" s="684"/>
      <c r="H345" s="684"/>
      <c r="I345" s="684"/>
      <c r="J345" s="684"/>
      <c r="K345" s="684"/>
      <c r="L345" s="684"/>
      <c r="M345" s="684"/>
      <c r="N345" s="688">
        <f t="shared" si="37"/>
        <v>0</v>
      </c>
      <c r="O345" s="1112">
        <f t="shared" si="39"/>
        <v>0</v>
      </c>
    </row>
    <row r="346" spans="1:15">
      <c r="A346" s="1007"/>
      <c r="B346" s="1136"/>
      <c r="C346" s="1019"/>
      <c r="D346" s="1019"/>
      <c r="E346" s="684"/>
      <c r="F346" s="1077">
        <f t="shared" si="36"/>
        <v>0</v>
      </c>
      <c r="G346" s="684"/>
      <c r="H346" s="684"/>
      <c r="I346" s="684"/>
      <c r="J346" s="684"/>
      <c r="K346" s="684"/>
      <c r="L346" s="684"/>
      <c r="M346" s="684"/>
      <c r="N346" s="688">
        <f t="shared" si="37"/>
        <v>0</v>
      </c>
      <c r="O346" s="1112">
        <f t="shared" si="39"/>
        <v>0</v>
      </c>
    </row>
    <row r="347" spans="1:15">
      <c r="A347" s="1007"/>
      <c r="B347" s="1136"/>
      <c r="C347" s="1019"/>
      <c r="D347" s="1019"/>
      <c r="E347" s="684"/>
      <c r="F347" s="1077">
        <f t="shared" si="36"/>
        <v>0</v>
      </c>
      <c r="G347" s="684"/>
      <c r="H347" s="684"/>
      <c r="I347" s="684"/>
      <c r="J347" s="684"/>
      <c r="K347" s="684"/>
      <c r="L347" s="684"/>
      <c r="M347" s="684"/>
      <c r="N347" s="688">
        <f t="shared" si="37"/>
        <v>0</v>
      </c>
      <c r="O347" s="1112">
        <f t="shared" si="39"/>
        <v>0</v>
      </c>
    </row>
    <row r="348" spans="1:15">
      <c r="A348" s="1007"/>
      <c r="B348" s="1136"/>
      <c r="C348" s="1019"/>
      <c r="D348" s="1019"/>
      <c r="E348" s="684"/>
      <c r="F348" s="1077">
        <f t="shared" si="36"/>
        <v>0</v>
      </c>
      <c r="G348" s="684"/>
      <c r="H348" s="684"/>
      <c r="I348" s="684"/>
      <c r="J348" s="684"/>
      <c r="K348" s="684"/>
      <c r="L348" s="684"/>
      <c r="M348" s="684"/>
      <c r="N348" s="688">
        <f t="shared" si="37"/>
        <v>0</v>
      </c>
      <c r="O348" s="1112">
        <f t="shared" si="39"/>
        <v>0</v>
      </c>
    </row>
    <row r="349" spans="1:15">
      <c r="A349" s="1007"/>
      <c r="B349" s="1136"/>
      <c r="C349" s="1019"/>
      <c r="D349" s="1019"/>
      <c r="E349" s="684"/>
      <c r="F349" s="1077">
        <f t="shared" si="36"/>
        <v>0</v>
      </c>
      <c r="G349" s="684"/>
      <c r="H349" s="684"/>
      <c r="I349" s="684"/>
      <c r="J349" s="684"/>
      <c r="K349" s="684"/>
      <c r="L349" s="684"/>
      <c r="M349" s="684"/>
      <c r="N349" s="688">
        <f t="shared" si="37"/>
        <v>0</v>
      </c>
      <c r="O349" s="1112">
        <f t="shared" si="39"/>
        <v>0</v>
      </c>
    </row>
    <row r="350" spans="1:15">
      <c r="A350" s="1007"/>
      <c r="B350" s="1136"/>
      <c r="C350" s="1019"/>
      <c r="D350" s="1019"/>
      <c r="E350" s="684"/>
      <c r="F350" s="1077">
        <f t="shared" si="36"/>
        <v>0</v>
      </c>
      <c r="G350" s="684"/>
      <c r="H350" s="684"/>
      <c r="I350" s="684"/>
      <c r="J350" s="684"/>
      <c r="K350" s="684"/>
      <c r="L350" s="684"/>
      <c r="M350" s="684"/>
      <c r="N350" s="688">
        <f t="shared" si="37"/>
        <v>0</v>
      </c>
      <c r="O350" s="1112">
        <f t="shared" si="39"/>
        <v>0</v>
      </c>
    </row>
    <row r="351" spans="1:15">
      <c r="A351" s="1007"/>
      <c r="B351" s="1136"/>
      <c r="C351" s="1019"/>
      <c r="D351" s="1019"/>
      <c r="E351" s="684"/>
      <c r="F351" s="1077">
        <f t="shared" si="36"/>
        <v>0</v>
      </c>
      <c r="G351" s="684"/>
      <c r="H351" s="684"/>
      <c r="I351" s="684"/>
      <c r="J351" s="684"/>
      <c r="K351" s="684"/>
      <c r="L351" s="684"/>
      <c r="M351" s="684"/>
      <c r="N351" s="688">
        <f t="shared" si="37"/>
        <v>0</v>
      </c>
      <c r="O351" s="1112">
        <f t="shared" si="39"/>
        <v>0</v>
      </c>
    </row>
    <row r="352" spans="1:15">
      <c r="A352" s="1007"/>
      <c r="B352" s="1136"/>
      <c r="C352" s="1019"/>
      <c r="D352" s="1019"/>
      <c r="E352" s="684"/>
      <c r="F352" s="1077">
        <f t="shared" si="36"/>
        <v>0</v>
      </c>
      <c r="G352" s="684"/>
      <c r="H352" s="684"/>
      <c r="I352" s="684"/>
      <c r="J352" s="684"/>
      <c r="K352" s="684"/>
      <c r="L352" s="684"/>
      <c r="M352" s="684"/>
      <c r="N352" s="688">
        <f t="shared" si="37"/>
        <v>0</v>
      </c>
      <c r="O352" s="1112">
        <f t="shared" si="39"/>
        <v>0</v>
      </c>
    </row>
    <row r="353" spans="1:20">
      <c r="A353" s="1007"/>
      <c r="B353" s="1136"/>
      <c r="C353" s="1019"/>
      <c r="D353" s="1019"/>
      <c r="E353" s="684"/>
      <c r="F353" s="1077">
        <f t="shared" si="36"/>
        <v>0</v>
      </c>
      <c r="G353" s="684"/>
      <c r="H353" s="684"/>
      <c r="I353" s="684"/>
      <c r="J353" s="684"/>
      <c r="K353" s="684"/>
      <c r="L353" s="684"/>
      <c r="M353" s="684"/>
      <c r="N353" s="688">
        <f t="shared" si="37"/>
        <v>0</v>
      </c>
      <c r="O353" s="1112">
        <f t="shared" si="39"/>
        <v>0</v>
      </c>
    </row>
    <row r="354" spans="1:20">
      <c r="A354" s="1007"/>
      <c r="B354" s="1136"/>
      <c r="C354" s="1019"/>
      <c r="D354" s="1019"/>
      <c r="E354" s="684"/>
      <c r="F354" s="1077">
        <f t="shared" si="36"/>
        <v>0</v>
      </c>
      <c r="G354" s="684"/>
      <c r="H354" s="684"/>
      <c r="I354" s="684"/>
      <c r="J354" s="684"/>
      <c r="K354" s="684"/>
      <c r="L354" s="684"/>
      <c r="M354" s="684"/>
      <c r="N354" s="688">
        <f t="shared" si="37"/>
        <v>0</v>
      </c>
      <c r="O354" s="1112">
        <f t="shared" si="39"/>
        <v>0</v>
      </c>
    </row>
    <row r="355" spans="1:20">
      <c r="A355" s="1007"/>
      <c r="B355" s="1136"/>
      <c r="C355" s="1019"/>
      <c r="D355" s="1019"/>
      <c r="E355" s="684"/>
      <c r="F355" s="1077">
        <f t="shared" si="36"/>
        <v>0</v>
      </c>
      <c r="G355" s="684"/>
      <c r="H355" s="684"/>
      <c r="I355" s="684"/>
      <c r="J355" s="684"/>
      <c r="K355" s="684"/>
      <c r="L355" s="684"/>
      <c r="M355" s="684"/>
      <c r="N355" s="688">
        <f t="shared" si="37"/>
        <v>0</v>
      </c>
      <c r="O355" s="1112">
        <f t="shared" si="38"/>
        <v>0</v>
      </c>
    </row>
    <row r="356" spans="1:20">
      <c r="A356" s="1007"/>
      <c r="B356" s="1136"/>
      <c r="C356" s="1019"/>
      <c r="D356" s="1019"/>
      <c r="E356" s="684"/>
      <c r="F356" s="1077">
        <f t="shared" si="36"/>
        <v>0</v>
      </c>
      <c r="G356" s="684"/>
      <c r="H356" s="684"/>
      <c r="I356" s="684"/>
      <c r="J356" s="684"/>
      <c r="K356" s="684"/>
      <c r="L356" s="684"/>
      <c r="M356" s="684"/>
      <c r="N356" s="688">
        <f t="shared" si="37"/>
        <v>0</v>
      </c>
      <c r="O356" s="1112">
        <f t="shared" si="38"/>
        <v>0</v>
      </c>
    </row>
    <row r="357" spans="1:20">
      <c r="A357" s="1007"/>
      <c r="B357" s="1136"/>
      <c r="C357" s="1019"/>
      <c r="D357" s="1019"/>
      <c r="E357" s="684"/>
      <c r="F357" s="1077">
        <f t="shared" si="36"/>
        <v>0</v>
      </c>
      <c r="G357" s="684"/>
      <c r="H357" s="684"/>
      <c r="I357" s="684"/>
      <c r="J357" s="684"/>
      <c r="K357" s="684"/>
      <c r="L357" s="684"/>
      <c r="M357" s="684"/>
      <c r="N357" s="688">
        <f t="shared" si="37"/>
        <v>0</v>
      </c>
      <c r="O357" s="1112">
        <f t="shared" si="38"/>
        <v>0</v>
      </c>
    </row>
    <row r="358" spans="1:20">
      <c r="A358" s="1007"/>
      <c r="B358" s="1136"/>
      <c r="C358" s="1019"/>
      <c r="D358" s="1019"/>
      <c r="E358" s="684"/>
      <c r="F358" s="1077">
        <f t="shared" si="36"/>
        <v>0</v>
      </c>
      <c r="G358" s="684"/>
      <c r="H358" s="684"/>
      <c r="I358" s="684"/>
      <c r="J358" s="684"/>
      <c r="K358" s="684"/>
      <c r="L358" s="684"/>
      <c r="M358" s="684"/>
      <c r="N358" s="688">
        <f t="shared" si="37"/>
        <v>0</v>
      </c>
      <c r="O358" s="1112">
        <f t="shared" si="38"/>
        <v>0</v>
      </c>
    </row>
    <row r="359" spans="1:20">
      <c r="A359" s="1007"/>
      <c r="B359" s="1136"/>
      <c r="C359" s="1019"/>
      <c r="D359" s="1019"/>
      <c r="E359" s="684"/>
      <c r="F359" s="1077">
        <f t="shared" si="36"/>
        <v>0</v>
      </c>
      <c r="G359" s="684"/>
      <c r="H359" s="684"/>
      <c r="I359" s="684"/>
      <c r="J359" s="684"/>
      <c r="K359" s="684"/>
      <c r="L359" s="684"/>
      <c r="M359" s="684"/>
      <c r="N359" s="688">
        <f t="shared" si="37"/>
        <v>0</v>
      </c>
      <c r="O359" s="1112">
        <f t="shared" si="38"/>
        <v>0</v>
      </c>
    </row>
    <row r="360" spans="1:20">
      <c r="A360" s="1007"/>
      <c r="B360" s="1136"/>
      <c r="C360" s="1019"/>
      <c r="D360" s="1019"/>
      <c r="E360" s="684"/>
      <c r="F360" s="1077">
        <f t="shared" si="36"/>
        <v>0</v>
      </c>
      <c r="G360" s="684"/>
      <c r="H360" s="684"/>
      <c r="I360" s="684"/>
      <c r="J360" s="684"/>
      <c r="K360" s="684"/>
      <c r="L360" s="684"/>
      <c r="M360" s="684"/>
      <c r="N360" s="688">
        <f t="shared" si="37"/>
        <v>0</v>
      </c>
      <c r="O360" s="1112">
        <f t="shared" si="38"/>
        <v>0</v>
      </c>
    </row>
    <row r="361" spans="1:20">
      <c r="A361" s="1007"/>
      <c r="B361" s="1136"/>
      <c r="C361" s="1019"/>
      <c r="D361" s="1019"/>
      <c r="E361" s="684"/>
      <c r="F361" s="1077">
        <f t="shared" si="36"/>
        <v>0</v>
      </c>
      <c r="G361" s="684"/>
      <c r="H361" s="684"/>
      <c r="I361" s="684"/>
      <c r="J361" s="684"/>
      <c r="K361" s="684"/>
      <c r="L361" s="684"/>
      <c r="M361" s="684"/>
      <c r="N361" s="688">
        <f t="shared" si="37"/>
        <v>0</v>
      </c>
      <c r="O361" s="1112">
        <f t="shared" si="38"/>
        <v>0</v>
      </c>
    </row>
    <row r="362" spans="1:20" ht="13.5" thickBot="1">
      <c r="A362" s="1007"/>
      <c r="B362" s="1136"/>
      <c r="C362" s="1019"/>
      <c r="D362" s="1019"/>
      <c r="E362" s="684"/>
      <c r="F362" s="1077">
        <f t="shared" si="36"/>
        <v>0</v>
      </c>
      <c r="G362" s="684"/>
      <c r="H362" s="684"/>
      <c r="I362" s="684"/>
      <c r="J362" s="684"/>
      <c r="K362" s="684"/>
      <c r="L362" s="684"/>
      <c r="M362" s="684"/>
      <c r="N362" s="688">
        <f t="shared" si="37"/>
        <v>0</v>
      </c>
      <c r="O362" s="1113">
        <f t="shared" si="38"/>
        <v>0</v>
      </c>
    </row>
    <row r="363" spans="1:20" ht="13.5" thickBot="1">
      <c r="A363" s="1126" t="s">
        <v>639</v>
      </c>
      <c r="B363" s="764">
        <f>SUM(B333:B362)</f>
        <v>0</v>
      </c>
      <c r="C363" s="686"/>
      <c r="D363" s="686"/>
      <c r="E363" s="686"/>
      <c r="F363" s="997">
        <f>IF(ISERROR(SUM(F333:F362)/B363),0,(SUM(F333:F362)/B363))</f>
        <v>0</v>
      </c>
      <c r="G363" s="997">
        <f>IF(ISERROR(SUM(G333:G362)/B363),0,(SUM(G333:G362)/B363))</f>
        <v>0</v>
      </c>
      <c r="H363" s="997">
        <f>IF(ISERROR(SUM(H333:H362)/B363),0,(SUM(H333:H362)/B363))</f>
        <v>0</v>
      </c>
      <c r="I363" s="997">
        <f>IF(ISERROR(SUM(I333:I362)/B363),0,(SUM(I333:I362)/B363))</f>
        <v>0</v>
      </c>
      <c r="J363" s="997">
        <f>IF(ISERROR(SUM(J333:J362)/B363),0,(SUM(J333:J362)/B363))</f>
        <v>0</v>
      </c>
      <c r="K363" s="997">
        <f>IF(ISERROR(SUM(K333:K362)/B363),0,(SUM(K333:K362)/B363))</f>
        <v>0</v>
      </c>
      <c r="L363" s="1001">
        <f>IF(ISERROR(SUM(L333:L362)/B363),0,(SUM(L333:L362)/B363))</f>
        <v>0</v>
      </c>
      <c r="M363" s="997">
        <f>IF(ISERROR(SUM(M333:M362)/B363),0,(SUM(M333:M362)/B363))</f>
        <v>0</v>
      </c>
      <c r="N363" s="998">
        <f>SUM(N333:N362)</f>
        <v>0</v>
      </c>
      <c r="O363" s="1003">
        <f>IFERROR(SUM(N363/B363),0)</f>
        <v>0</v>
      </c>
      <c r="T363" s="843"/>
    </row>
    <row r="364" spans="1:20">
      <c r="A364" s="1114"/>
      <c r="B364" s="687"/>
      <c r="C364" s="687"/>
      <c r="D364" s="687"/>
      <c r="E364" s="687"/>
      <c r="F364" s="687"/>
      <c r="G364" s="687"/>
      <c r="H364" s="687"/>
      <c r="I364" s="687"/>
      <c r="J364" s="687"/>
      <c r="K364" s="687"/>
      <c r="L364" s="687"/>
      <c r="M364" s="687"/>
      <c r="N364" s="1096"/>
      <c r="O364" s="1117"/>
    </row>
    <row r="365" spans="1:20">
      <c r="A365" s="1124" t="s">
        <v>640</v>
      </c>
      <c r="B365" s="687"/>
      <c r="C365" s="687"/>
      <c r="D365" s="687"/>
      <c r="E365" s="687"/>
      <c r="F365" s="687"/>
      <c r="G365" s="687"/>
      <c r="H365" s="1416" t="str">
        <f>IF($H$13&gt;0,"Beiträge zur Altersvorsorge NICHT in Spalte bAV, betriebliche Zulagen erfassen","")</f>
        <v/>
      </c>
      <c r="I365" s="1416"/>
      <c r="J365" s="1416"/>
      <c r="K365" s="1416"/>
      <c r="L365" s="1416"/>
      <c r="M365" s="1416"/>
      <c r="N365" s="1416"/>
      <c r="O365" s="1417"/>
    </row>
    <row r="366" spans="1:20">
      <c r="A366" s="1008"/>
      <c r="B366" s="1136"/>
      <c r="C366" s="1019"/>
      <c r="D366" s="1019"/>
      <c r="E366" s="684"/>
      <c r="F366" s="1077">
        <f t="shared" ref="F366:F375" si="40">IFERROR(E366*B366,"")</f>
        <v>0</v>
      </c>
      <c r="G366" s="684"/>
      <c r="H366" s="684"/>
      <c r="I366" s="684"/>
      <c r="J366" s="684"/>
      <c r="K366" s="684"/>
      <c r="L366" s="684"/>
      <c r="M366" s="684"/>
      <c r="N366" s="688">
        <f t="shared" ref="N366:N375" si="41">IFERROR(IF(A366&lt;&gt;"GfB",(SUM(F366:J366)*12+(L366+M366))*(100+$H$12+$H$13)%+(K366*12),(SUM(F366:J366)*12+(L366+M366))*(100+$H$15+$H$13)%+(K366*12)),0)</f>
        <v>0</v>
      </c>
      <c r="O366" s="1112">
        <f t="shared" ref="O366:O375" si="42">IF(ISERROR(N366/B366),0,(N366/B366))</f>
        <v>0</v>
      </c>
    </row>
    <row r="367" spans="1:20">
      <c r="A367" s="1007"/>
      <c r="B367" s="1136"/>
      <c r="C367" s="1019"/>
      <c r="D367" s="1019"/>
      <c r="E367" s="684"/>
      <c r="F367" s="1077">
        <f t="shared" si="40"/>
        <v>0</v>
      </c>
      <c r="G367" s="684"/>
      <c r="H367" s="684"/>
      <c r="I367" s="684"/>
      <c r="J367" s="684"/>
      <c r="K367" s="684"/>
      <c r="L367" s="684"/>
      <c r="M367" s="684"/>
      <c r="N367" s="688">
        <f t="shared" si="41"/>
        <v>0</v>
      </c>
      <c r="O367" s="1112">
        <f t="shared" ref="O367:O371" si="43">IF(ISERROR(N367/B367),0,(N367/B367))</f>
        <v>0</v>
      </c>
    </row>
    <row r="368" spans="1:20">
      <c r="A368" s="1007"/>
      <c r="B368" s="1136"/>
      <c r="C368" s="1019"/>
      <c r="D368" s="1019"/>
      <c r="E368" s="684"/>
      <c r="F368" s="1077">
        <f t="shared" si="40"/>
        <v>0</v>
      </c>
      <c r="G368" s="684"/>
      <c r="H368" s="684"/>
      <c r="I368" s="684"/>
      <c r="J368" s="684"/>
      <c r="K368" s="684"/>
      <c r="L368" s="684"/>
      <c r="M368" s="684"/>
      <c r="N368" s="688">
        <f t="shared" si="41"/>
        <v>0</v>
      </c>
      <c r="O368" s="1112">
        <f t="shared" si="43"/>
        <v>0</v>
      </c>
    </row>
    <row r="369" spans="1:20">
      <c r="A369" s="1007"/>
      <c r="B369" s="1136"/>
      <c r="C369" s="1019"/>
      <c r="D369" s="1019"/>
      <c r="E369" s="684"/>
      <c r="F369" s="1077">
        <f t="shared" si="40"/>
        <v>0</v>
      </c>
      <c r="G369" s="684"/>
      <c r="H369" s="684"/>
      <c r="I369" s="684"/>
      <c r="J369" s="684"/>
      <c r="K369" s="684"/>
      <c r="L369" s="684"/>
      <c r="M369" s="684"/>
      <c r="N369" s="688">
        <f t="shared" si="41"/>
        <v>0</v>
      </c>
      <c r="O369" s="1112">
        <f t="shared" si="43"/>
        <v>0</v>
      </c>
    </row>
    <row r="370" spans="1:20">
      <c r="A370" s="1007"/>
      <c r="B370" s="1136"/>
      <c r="C370" s="1019"/>
      <c r="D370" s="1019"/>
      <c r="E370" s="684"/>
      <c r="F370" s="1077">
        <f t="shared" si="40"/>
        <v>0</v>
      </c>
      <c r="G370" s="684"/>
      <c r="H370" s="684"/>
      <c r="I370" s="684"/>
      <c r="J370" s="684"/>
      <c r="K370" s="684"/>
      <c r="L370" s="684"/>
      <c r="M370" s="684"/>
      <c r="N370" s="688">
        <f t="shared" si="41"/>
        <v>0</v>
      </c>
      <c r="O370" s="1112">
        <f t="shared" si="43"/>
        <v>0</v>
      </c>
    </row>
    <row r="371" spans="1:20">
      <c r="A371" s="1007"/>
      <c r="B371" s="1136"/>
      <c r="C371" s="1019"/>
      <c r="D371" s="1019"/>
      <c r="E371" s="684"/>
      <c r="F371" s="1077">
        <f t="shared" si="40"/>
        <v>0</v>
      </c>
      <c r="G371" s="684"/>
      <c r="H371" s="684"/>
      <c r="I371" s="684"/>
      <c r="J371" s="684"/>
      <c r="K371" s="684"/>
      <c r="L371" s="684"/>
      <c r="M371" s="684"/>
      <c r="N371" s="688">
        <f t="shared" si="41"/>
        <v>0</v>
      </c>
      <c r="O371" s="1112">
        <f t="shared" si="43"/>
        <v>0</v>
      </c>
    </row>
    <row r="372" spans="1:20">
      <c r="A372" s="1007"/>
      <c r="B372" s="1136"/>
      <c r="C372" s="1019"/>
      <c r="D372" s="1019"/>
      <c r="E372" s="684"/>
      <c r="F372" s="1077">
        <f t="shared" si="40"/>
        <v>0</v>
      </c>
      <c r="G372" s="684"/>
      <c r="H372" s="684"/>
      <c r="I372" s="684"/>
      <c r="J372" s="684"/>
      <c r="K372" s="684"/>
      <c r="L372" s="684"/>
      <c r="M372" s="684"/>
      <c r="N372" s="688">
        <f t="shared" si="41"/>
        <v>0</v>
      </c>
      <c r="O372" s="1112">
        <f t="shared" si="42"/>
        <v>0</v>
      </c>
      <c r="T372" s="844"/>
    </row>
    <row r="373" spans="1:20">
      <c r="A373" s="1007"/>
      <c r="B373" s="1136"/>
      <c r="C373" s="1019"/>
      <c r="D373" s="1019"/>
      <c r="E373" s="684"/>
      <c r="F373" s="1077">
        <f t="shared" si="40"/>
        <v>0</v>
      </c>
      <c r="G373" s="684"/>
      <c r="H373" s="684"/>
      <c r="I373" s="684"/>
      <c r="J373" s="684"/>
      <c r="K373" s="684"/>
      <c r="L373" s="684"/>
      <c r="M373" s="684"/>
      <c r="N373" s="688">
        <f t="shared" si="41"/>
        <v>0</v>
      </c>
      <c r="O373" s="1112">
        <f t="shared" si="42"/>
        <v>0</v>
      </c>
    </row>
    <row r="374" spans="1:20">
      <c r="A374" s="1007"/>
      <c r="B374" s="1136"/>
      <c r="C374" s="1019"/>
      <c r="D374" s="1019"/>
      <c r="E374" s="684"/>
      <c r="F374" s="1077">
        <f t="shared" si="40"/>
        <v>0</v>
      </c>
      <c r="G374" s="684"/>
      <c r="H374" s="684"/>
      <c r="I374" s="684"/>
      <c r="J374" s="684"/>
      <c r="K374" s="684"/>
      <c r="L374" s="684"/>
      <c r="M374" s="684"/>
      <c r="N374" s="688">
        <f t="shared" si="41"/>
        <v>0</v>
      </c>
      <c r="O374" s="1112">
        <f t="shared" si="42"/>
        <v>0</v>
      </c>
    </row>
    <row r="375" spans="1:20" ht="13.5" thickBot="1">
      <c r="A375" s="1007"/>
      <c r="B375" s="1136"/>
      <c r="C375" s="1019"/>
      <c r="D375" s="1019"/>
      <c r="E375" s="684"/>
      <c r="F375" s="1077">
        <f t="shared" si="40"/>
        <v>0</v>
      </c>
      <c r="G375" s="684"/>
      <c r="H375" s="684"/>
      <c r="I375" s="684"/>
      <c r="J375" s="684"/>
      <c r="K375" s="684"/>
      <c r="L375" s="684"/>
      <c r="M375" s="684"/>
      <c r="N375" s="688">
        <f t="shared" si="41"/>
        <v>0</v>
      </c>
      <c r="O375" s="1112">
        <f t="shared" si="42"/>
        <v>0</v>
      </c>
    </row>
    <row r="376" spans="1:20" ht="13.5" thickBot="1">
      <c r="A376" s="1126" t="s">
        <v>641</v>
      </c>
      <c r="B376" s="764">
        <f>SUM(B366:B375)</f>
        <v>0</v>
      </c>
      <c r="C376" s="686"/>
      <c r="D376" s="686"/>
      <c r="E376" s="686"/>
      <c r="F376" s="997">
        <f>IF(ISERROR(SUM(F366:F375)/B376),0,(SUM(F366:F375)/B376))</f>
        <v>0</v>
      </c>
      <c r="G376" s="997">
        <f>IF(ISERROR(SUM(G366:G375)/B376),0,(SUM(G366:G375)/B376))</f>
        <v>0</v>
      </c>
      <c r="H376" s="997">
        <f>IF(ISERROR(SUM(H366:H375)/B376),0,(SUM(H366:H375)/B376))</f>
        <v>0</v>
      </c>
      <c r="I376" s="997">
        <f>IF(ISERROR(SUM(I366:I375)/B376),0,(SUM(I366:I375)/B376))</f>
        <v>0</v>
      </c>
      <c r="J376" s="997">
        <f>IF(ISERROR(SUM(J366:J375)/B376),0,(SUM(J366:J375)/B376))</f>
        <v>0</v>
      </c>
      <c r="K376" s="997">
        <f>IF(ISERROR(SUM(K366:K375)/B376),0,(SUM(K366:K375)/B376))</f>
        <v>0</v>
      </c>
      <c r="L376" s="1001">
        <f>IF(ISERROR(SUM(L366:L375)/B376),0,(SUM(L366:L375)/B376))</f>
        <v>0</v>
      </c>
      <c r="M376" s="997">
        <f>IF(ISERROR(SUM(M366:M375)/B376),0,(SUM(M366:M375)/B376))</f>
        <v>0</v>
      </c>
      <c r="N376" s="998">
        <f>SUM(N366:N375)</f>
        <v>0</v>
      </c>
      <c r="O376" s="1118">
        <f>IFERROR(SUM(N376/B376),0)</f>
        <v>0</v>
      </c>
    </row>
    <row r="377" spans="1:20">
      <c r="A377" s="1114"/>
      <c r="B377" s="687"/>
      <c r="C377" s="687"/>
      <c r="D377" s="687"/>
      <c r="E377" s="687"/>
      <c r="F377" s="687"/>
      <c r="G377" s="687"/>
      <c r="H377" s="687"/>
      <c r="I377" s="687"/>
      <c r="J377" s="687"/>
      <c r="K377" s="687"/>
      <c r="L377" s="687"/>
      <c r="M377" s="687"/>
      <c r="N377" s="1096"/>
      <c r="O377" s="1117"/>
    </row>
    <row r="378" spans="1:20">
      <c r="A378" s="1128"/>
      <c r="B378" s="687"/>
      <c r="C378" s="687"/>
      <c r="D378" s="687"/>
      <c r="E378" s="687"/>
      <c r="F378" s="687"/>
      <c r="G378" s="687"/>
      <c r="H378" s="687"/>
      <c r="I378" s="687"/>
      <c r="J378" s="687"/>
      <c r="K378" s="687"/>
      <c r="L378" s="687"/>
      <c r="M378" s="687"/>
      <c r="N378" s="687"/>
      <c r="O378" s="1101"/>
    </row>
    <row r="379" spans="1:20" ht="39" thickBot="1">
      <c r="A379" s="1129" t="s">
        <v>768</v>
      </c>
      <c r="B379" s="744"/>
      <c r="C379" s="695"/>
      <c r="D379" s="695"/>
      <c r="E379" s="695"/>
      <c r="F379" s="695"/>
      <c r="G379" s="695"/>
      <c r="H379" s="695"/>
      <c r="I379" s="695"/>
      <c r="J379" s="695"/>
      <c r="K379" s="695"/>
      <c r="L379" s="696" t="s">
        <v>365</v>
      </c>
      <c r="M379" s="696" t="s">
        <v>414</v>
      </c>
      <c r="N379" s="696" t="s">
        <v>415</v>
      </c>
      <c r="O379" s="694" t="s">
        <v>416</v>
      </c>
      <c r="T379" s="829" t="s">
        <v>483</v>
      </c>
    </row>
    <row r="380" spans="1:20">
      <c r="A380" s="1130" t="s">
        <v>642</v>
      </c>
      <c r="B380" s="698"/>
      <c r="C380" s="698"/>
      <c r="D380" s="698"/>
      <c r="E380" s="698"/>
      <c r="F380" s="698"/>
      <c r="G380" s="698"/>
      <c r="H380" s="698"/>
      <c r="I380" s="698"/>
      <c r="J380" s="698"/>
      <c r="K380" s="698"/>
      <c r="L380" s="1132"/>
      <c r="M380" s="684"/>
      <c r="N380" s="699">
        <f>M380*L380</f>
        <v>0</v>
      </c>
      <c r="O380" s="697"/>
    </row>
    <row r="381" spans="1:20" ht="13.5" thickBot="1">
      <c r="A381" s="1130" t="s">
        <v>643</v>
      </c>
      <c r="B381" s="698"/>
      <c r="C381" s="698"/>
      <c r="D381" s="698"/>
      <c r="E381" s="698"/>
      <c r="F381" s="698"/>
      <c r="G381" s="698"/>
      <c r="H381" s="698"/>
      <c r="I381" s="698"/>
      <c r="J381" s="698"/>
      <c r="K381" s="698"/>
      <c r="L381" s="1133"/>
      <c r="M381" s="684"/>
      <c r="N381" s="699">
        <f>M381*L381</f>
        <v>0</v>
      </c>
      <c r="O381" s="700"/>
      <c r="T381" s="1135" t="s">
        <v>645</v>
      </c>
    </row>
    <row r="382" spans="1:20" ht="13.5" thickBot="1">
      <c r="A382" s="1131" t="s">
        <v>644</v>
      </c>
      <c r="B382" s="692"/>
      <c r="C382" s="692"/>
      <c r="D382" s="692"/>
      <c r="E382" s="692"/>
      <c r="F382" s="692"/>
      <c r="G382" s="692"/>
      <c r="H382" s="692"/>
      <c r="I382" s="692"/>
      <c r="J382" s="692"/>
      <c r="K382" s="692"/>
      <c r="L382" s="1134">
        <f>SUM(L380:L381)</f>
        <v>0</v>
      </c>
      <c r="M382" s="692"/>
      <c r="N382" s="701"/>
      <c r="O382" s="702">
        <f>IF(ISERROR(SUM(N380:N381)/L382),0,(SUM(N380:N381)/L382))</f>
        <v>0</v>
      </c>
      <c r="T382" s="1135" t="s">
        <v>647</v>
      </c>
    </row>
    <row r="383" spans="1:20">
      <c r="A383" s="647"/>
      <c r="B383" s="647"/>
      <c r="C383" s="647"/>
      <c r="D383" s="647"/>
      <c r="E383" s="647"/>
      <c r="F383" s="647"/>
      <c r="G383" s="647"/>
      <c r="H383" s="647"/>
      <c r="I383" s="647"/>
      <c r="J383" s="647"/>
      <c r="K383" s="647"/>
      <c r="L383" s="647"/>
      <c r="M383" s="647"/>
      <c r="N383" s="647"/>
      <c r="O383" s="647"/>
    </row>
    <row r="384" spans="1:20" ht="13.5" thickBot="1">
      <c r="A384" s="33"/>
      <c r="B384" s="33"/>
      <c r="C384" s="33"/>
    </row>
    <row r="385" spans="1:20" ht="15" thickBot="1">
      <c r="A385" s="1386" t="s">
        <v>258</v>
      </c>
      <c r="B385" s="1386"/>
      <c r="C385" s="1386"/>
      <c r="D385" s="1386"/>
      <c r="E385" s="1386"/>
      <c r="F385" s="1386"/>
      <c r="G385" s="1386"/>
      <c r="H385" s="1387"/>
      <c r="I385" s="1387"/>
      <c r="J385" s="1387"/>
      <c r="K385" s="1387"/>
      <c r="L385" s="1387"/>
      <c r="M385" s="1387"/>
      <c r="N385" s="1387"/>
      <c r="O385" s="1388"/>
      <c r="T385" s="1015" t="s">
        <v>553</v>
      </c>
    </row>
    <row r="386" spans="1:20">
      <c r="A386" s="33"/>
      <c r="B386" s="33"/>
      <c r="C386" s="33"/>
    </row>
    <row r="387" spans="1:20">
      <c r="A387" s="33"/>
      <c r="B387" s="33"/>
      <c r="C387" s="33"/>
    </row>
    <row r="388" spans="1:20">
      <c r="A388" s="33"/>
      <c r="B388" s="33"/>
      <c r="C388" s="33"/>
    </row>
    <row r="389" spans="1:20">
      <c r="A389" s="33"/>
      <c r="B389" s="33"/>
      <c r="C389" s="33"/>
    </row>
    <row r="390" spans="1:20">
      <c r="A390" s="33"/>
      <c r="B390" s="33"/>
      <c r="C390" s="33"/>
    </row>
    <row r="391" spans="1:20">
      <c r="A391" s="33"/>
      <c r="B391" s="33"/>
      <c r="C391" s="33"/>
    </row>
    <row r="392" spans="1:20">
      <c r="A392" s="33"/>
      <c r="B392" s="33"/>
      <c r="C392" s="33"/>
    </row>
    <row r="393" spans="1:20">
      <c r="A393" s="33"/>
      <c r="B393" s="33"/>
      <c r="C393" s="33"/>
    </row>
  </sheetData>
  <sheetProtection algorithmName="SHA-512" hashValue="pf6YDvLVuLrdlJ1TkvmijC+5lsjWX9TdnjaTMvszfhCN0FYfJKyF3+99gU4w1SnWr2y190XyptlpnZKp2qHOXg==" saltValue="/GiafGlq7pRFHtQEhz1QqA==" spinCount="100000" sheet="1" objects="1" scenarios="1"/>
  <mergeCells count="26">
    <mergeCell ref="H332:O332"/>
    <mergeCell ref="H365:O365"/>
    <mergeCell ref="H229:O229"/>
    <mergeCell ref="H248:O248"/>
    <mergeCell ref="H276:O276"/>
    <mergeCell ref="D4:I4"/>
    <mergeCell ref="D3:I3"/>
    <mergeCell ref="A385:O385"/>
    <mergeCell ref="U18:U20"/>
    <mergeCell ref="B17:B18"/>
    <mergeCell ref="C17:C18"/>
    <mergeCell ref="D17:D18"/>
    <mergeCell ref="F17:K17"/>
    <mergeCell ref="L17:M17"/>
    <mergeCell ref="N17:N18"/>
    <mergeCell ref="O17:O18"/>
    <mergeCell ref="H20:O20"/>
    <mergeCell ref="C116:M120"/>
    <mergeCell ref="E17:E18"/>
    <mergeCell ref="F9:I9"/>
    <mergeCell ref="H299:O299"/>
    <mergeCell ref="A6:O6"/>
    <mergeCell ref="A16:O16"/>
    <mergeCell ref="A17:A18"/>
    <mergeCell ref="F10:I10"/>
    <mergeCell ref="D5:I5"/>
  </mergeCells>
  <dataValidations count="10">
    <dataValidation allowBlank="1" showInputMessage="1" showErrorMessage="1" errorTitle="Berechnungshinweis" promptTitle="Berechnungshinweis" prompt="Die prozentualen Personalkostensteigerungen müssen bei der prognostischen Abbildung der einzelnen Entgeltbestandteile bereits enthalten sein." sqref="K14"/>
    <dataValidation allowBlank="1" showInputMessage="1" showErrorMessage="1" prompt="geplanten Gesamtpersonalkosten für Leiharbeitnehmer entsprechend des VK-Umfanges angeben" sqref="N116"/>
    <dataValidation type="list" allowBlank="1" showInputMessage="1" sqref="A21:A100 A102:A115 A124:A223 A230:A244 A249:A273 A277:A296 A300:A329 A333:A362 A366:A375">
      <formula1>"GfB"</formula1>
    </dataValidation>
    <dataValidation type="list" allowBlank="1" showInputMessage="1" prompt="für geringfügig Beschäftigte =&gt; Filter GfB wählen" sqref="A101">
      <formula1>"GfB"</formula1>
    </dataValidation>
    <dataValidation type="whole" allowBlank="1" showInputMessage="1" showErrorMessage="1" promptTitle="Eingabe" prompt="ohne Nachkommastellen" sqref="L381">
      <formula1>0</formula1>
      <formula2>20</formula2>
    </dataValidation>
    <dataValidation type="whole" allowBlank="1" showInputMessage="1" showErrorMessage="1" promptTitle="Eingabe" prompt="ohne Nachkommastellen" sqref="L380">
      <formula1>0</formula1>
      <formula2>20</formula2>
    </dataValidation>
    <dataValidation allowBlank="1" showInputMessage="1" showErrorMessage="1" promptTitle="Eingabe" prompt="mit maximal 3 Nachkommastellen" sqref="B366:B375"/>
    <dataValidation allowBlank="1" showInputMessage="1" showErrorMessage="1" promptTitle="Eingabe" prompt="mit 3 Nachkommastellen" sqref="B21:B115 B124:B223"/>
    <dataValidation allowBlank="1" showInputMessage="1" showErrorMessage="1" promptTitle="Eingabe" prompt="mit maximal 3 Nachkommastellen" sqref="B230:B244 B249:B273 B277:B296 B300:B329 B333:B362"/>
    <dataValidation type="custom" allowBlank="1" showInputMessage="1" showErrorMessage="1" prompt="für Leiharbeitnehmer den VK-Umfang entsprechend der gepplanten wö. Stundenzahl und Einsatzzeitraum angeben, Eingabe mit 3 Nachkommastellen" sqref="B116:B120">
      <formula1>MOD(B116*10^3,1)=0</formula1>
    </dataValidation>
  </dataValidations>
  <hyperlinks>
    <hyperlink ref="A385:G385" location="Sachaufwendungen!A1" display="gehe weiter zu Sachaufwendungen"/>
    <hyperlink ref="A385:O385" location="Personalaufwendungen!Druckbereich" display="gehe weiter zu Personalaufwendungen"/>
  </hyperlinks>
  <printOptions horizontalCentered="1" verticalCentered="1"/>
  <pageMargins left="0.70866141732283472" right="0.70866141732283472" top="0.39370078740157483" bottom="0.39370078740157483" header="0.19685039370078741" footer="0.19685039370078741"/>
  <pageSetup paperSize="9" scale="48" fitToHeight="2" orientation="landscape"/>
  <headerFooter>
    <oddHeader>&amp;C&amp;9Seite Personalkostenaufstellung - Seite &amp;P</oddHeader>
    <oddFooter>&amp;L&amp;8Version: 15.01.2020&amp;C&amp;8Verhandlungsunterlagen SGB XI&amp;R&amp;8PSK-Beschluss Nr. 3/2019 vom 19.09.2019</oddFooter>
  </headerFooter>
  <ignoredErrors>
    <ignoredError sqref="F21" unlockedFormula="1"/>
  </ignoredErrors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KAT!$F$2:$F$4</xm:f>
          </x14:formula1>
          <xm:sqref>F8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R72"/>
  <sheetViews>
    <sheetView showGridLines="0" zoomScaleNormal="100" workbookViewId="0">
      <pane ySplit="9" topLeftCell="A10" activePane="bottomLeft" state="frozen"/>
      <selection pane="bottomLeft" activeCell="G12" sqref="G12"/>
    </sheetView>
  </sheetViews>
  <sheetFormatPr baseColWidth="10" defaultRowHeight="14.25"/>
  <cols>
    <col min="1" max="1" width="1.5" customWidth="1"/>
    <col min="2" max="2" width="3.75" customWidth="1"/>
    <col min="3" max="3" width="7.625" customWidth="1"/>
    <col min="4" max="4" width="7.375" customWidth="1"/>
    <col min="6" max="6" width="15.5" customWidth="1"/>
    <col min="7" max="8" width="9.375" customWidth="1"/>
    <col min="9" max="10" width="15.625" customWidth="1"/>
    <col min="11" max="11" width="1.25" customWidth="1"/>
    <col min="12" max="12" width="41.625" style="790" hidden="1" customWidth="1"/>
    <col min="13" max="13" width="3.625" style="790" hidden="1" customWidth="1"/>
    <col min="14" max="14" width="14.125" style="790" hidden="1" customWidth="1"/>
    <col min="15" max="18" width="11" style="790" hidden="1" customWidth="1"/>
  </cols>
  <sheetData>
    <row r="1" spans="1:18" ht="15" customHeight="1">
      <c r="A1" s="1334" t="str">
        <f>'Allgemeine Angaben'!A1:N1</f>
        <v>Aufforderung zum Abschluss einer Pflegesatzvereinbarung gemäß §§ 84, 85 SGB XI</v>
      </c>
      <c r="B1" s="1335"/>
      <c r="C1" s="1335"/>
      <c r="D1" s="1335"/>
      <c r="E1" s="1335"/>
      <c r="F1" s="1335"/>
      <c r="G1" s="1335"/>
      <c r="H1" s="1335"/>
      <c r="I1" s="1335"/>
      <c r="J1" s="1418"/>
      <c r="K1" s="1419"/>
      <c r="L1" s="824" t="s">
        <v>475</v>
      </c>
      <c r="M1" s="1215" t="s">
        <v>811</v>
      </c>
    </row>
    <row r="2" spans="1:18" ht="15" customHeight="1">
      <c r="A2" s="1337" t="s">
        <v>40</v>
      </c>
      <c r="B2" s="1338"/>
      <c r="C2" s="1338"/>
      <c r="D2" s="1338"/>
      <c r="E2" s="1338"/>
      <c r="F2" s="1338"/>
      <c r="G2" s="1338"/>
      <c r="H2" s="1338"/>
      <c r="I2" s="1338"/>
      <c r="J2" s="1420"/>
      <c r="K2" s="1421"/>
      <c r="L2" s="989">
        <v>43605</v>
      </c>
      <c r="M2" s="1215" t="s">
        <v>816</v>
      </c>
    </row>
    <row r="3" spans="1:18" ht="15" customHeight="1">
      <c r="A3" s="1363" t="str">
        <f>'Allgemeine Angaben'!A3:N3</f>
        <v/>
      </c>
      <c r="B3" s="1364"/>
      <c r="C3" s="1364"/>
      <c r="D3" s="1364"/>
      <c r="E3" s="1364"/>
      <c r="F3" s="1364"/>
      <c r="G3" s="1364"/>
      <c r="H3" s="1364"/>
      <c r="I3" s="1364"/>
      <c r="J3" s="1422"/>
      <c r="K3" s="1421"/>
      <c r="L3" s="826"/>
      <c r="M3" s="1312" t="s">
        <v>817</v>
      </c>
    </row>
    <row r="4" spans="1:18" ht="15" customHeight="1">
      <c r="A4" s="1032">
        <f>'Allgemeine Angaben'!A4:N4</f>
        <v>0</v>
      </c>
      <c r="B4" s="1033"/>
      <c r="C4" s="1033" t="str">
        <f>'Allgemeine Angaben'!B4</f>
        <v/>
      </c>
      <c r="D4" s="1033"/>
      <c r="E4" s="1033"/>
      <c r="F4" s="1033"/>
      <c r="G4" s="1033"/>
      <c r="H4" s="1033"/>
      <c r="I4" s="1036" t="str">
        <f>'Allgemeine Angaben'!K4</f>
        <v>Antrag vom:</v>
      </c>
      <c r="J4" s="1047">
        <f>'Allgemeine Angaben'!L4</f>
        <v>0</v>
      </c>
      <c r="K4" s="1034"/>
      <c r="L4" s="1049" t="s">
        <v>808</v>
      </c>
      <c r="M4" s="1312" t="s">
        <v>822</v>
      </c>
      <c r="N4" s="825"/>
    </row>
    <row r="5" spans="1:18" s="1" customFormat="1" ht="13.5" customHeight="1">
      <c r="A5" s="129"/>
      <c r="B5" s="130"/>
      <c r="C5" s="130"/>
      <c r="D5" s="130"/>
      <c r="E5" s="130"/>
      <c r="F5" s="130"/>
      <c r="G5" s="130"/>
      <c r="H5" s="131"/>
      <c r="I5" s="130"/>
      <c r="J5" s="130"/>
      <c r="K5" s="132"/>
      <c r="L5" s="799"/>
      <c r="M5" s="790"/>
      <c r="N5" s="799"/>
      <c r="O5" s="799"/>
      <c r="P5" s="799"/>
      <c r="Q5" s="799"/>
      <c r="R5" s="799"/>
    </row>
    <row r="6" spans="1:18" s="1" customFormat="1" ht="36" customHeight="1">
      <c r="A6" s="129"/>
      <c r="B6" s="130"/>
      <c r="C6" s="130"/>
      <c r="D6" s="130"/>
      <c r="E6" s="133"/>
      <c r="F6" s="133"/>
      <c r="G6" s="134" t="s">
        <v>41</v>
      </c>
      <c r="H6" s="371" t="s">
        <v>41</v>
      </c>
      <c r="I6" s="732" t="s">
        <v>424</v>
      </c>
      <c r="J6" s="481" t="s">
        <v>259</v>
      </c>
      <c r="K6" s="132"/>
      <c r="L6" s="1035" t="s">
        <v>586</v>
      </c>
      <c r="M6" s="790"/>
      <c r="N6" s="799"/>
      <c r="O6" s="799"/>
      <c r="P6" s="799"/>
      <c r="Q6" s="799"/>
      <c r="R6" s="799"/>
    </row>
    <row r="7" spans="1:18" s="1" customFormat="1" ht="49.5" customHeight="1">
      <c r="A7" s="129"/>
      <c r="B7" s="130"/>
      <c r="C7" s="130"/>
      <c r="D7" s="130"/>
      <c r="E7" s="130"/>
      <c r="F7" s="130"/>
      <c r="G7" s="135" t="s">
        <v>42</v>
      </c>
      <c r="H7" s="133" t="s">
        <v>42</v>
      </c>
      <c r="I7" s="737" t="s">
        <v>618</v>
      </c>
      <c r="J7" s="738" t="s">
        <v>425</v>
      </c>
      <c r="K7" s="132"/>
      <c r="L7" s="1092" t="s">
        <v>619</v>
      </c>
      <c r="M7" s="790"/>
      <c r="N7" s="799"/>
      <c r="O7" s="799"/>
      <c r="P7" s="799"/>
      <c r="Q7" s="799"/>
      <c r="R7" s="799"/>
    </row>
    <row r="8" spans="1:18" s="1" customFormat="1" ht="14.1" customHeight="1">
      <c r="A8" s="129"/>
      <c r="B8" s="130"/>
      <c r="C8" s="130"/>
      <c r="D8" s="130"/>
      <c r="E8" s="130"/>
      <c r="F8" s="136"/>
      <c r="G8" s="137" t="str">
        <f>IF(Belegung!D16&gt;0,Belegung!D16,"")</f>
        <v/>
      </c>
      <c r="H8" s="371"/>
      <c r="I8" s="460" t="s">
        <v>43</v>
      </c>
      <c r="J8" s="734"/>
      <c r="K8" s="132"/>
      <c r="L8" s="814"/>
      <c r="M8" s="790"/>
      <c r="N8" s="799"/>
      <c r="O8" s="799"/>
      <c r="P8" s="799"/>
      <c r="Q8" s="799"/>
      <c r="R8" s="799"/>
    </row>
    <row r="9" spans="1:18" s="1" customFormat="1" ht="13.5" customHeight="1">
      <c r="A9" s="129"/>
      <c r="B9" s="130"/>
      <c r="C9" s="130"/>
      <c r="D9" s="130"/>
      <c r="E9" s="130"/>
      <c r="F9" s="133"/>
      <c r="G9" s="138" t="s">
        <v>44</v>
      </c>
      <c r="H9" s="370" t="s">
        <v>38</v>
      </c>
      <c r="I9" s="138" t="s">
        <v>38</v>
      </c>
      <c r="J9" s="482" t="s">
        <v>38</v>
      </c>
      <c r="K9" s="132"/>
      <c r="L9" s="799"/>
      <c r="M9" s="790"/>
      <c r="N9" s="799"/>
      <c r="O9" s="799"/>
      <c r="P9" s="799"/>
      <c r="Q9" s="799"/>
      <c r="R9" s="799"/>
    </row>
    <row r="10" spans="1:18" s="1" customFormat="1" ht="14.1" customHeight="1">
      <c r="A10" s="129"/>
      <c r="B10" s="139" t="s">
        <v>45</v>
      </c>
      <c r="C10" s="139" t="s">
        <v>529</v>
      </c>
      <c r="D10" s="140"/>
      <c r="E10" s="130"/>
      <c r="F10" s="133"/>
      <c r="G10" s="130"/>
      <c r="H10" s="130"/>
      <c r="I10" s="130"/>
      <c r="J10" s="627"/>
      <c r="K10" s="132"/>
      <c r="L10" s="981"/>
      <c r="M10" s="790"/>
      <c r="N10" s="799"/>
      <c r="O10" s="799"/>
      <c r="P10" s="799"/>
      <c r="Q10" s="799"/>
      <c r="R10" s="799"/>
    </row>
    <row r="11" spans="1:18" s="1" customFormat="1" ht="12.75" customHeight="1">
      <c r="A11" s="129"/>
      <c r="B11" s="139"/>
      <c r="C11" s="130" t="s">
        <v>46</v>
      </c>
      <c r="D11" s="130"/>
      <c r="E11" s="130"/>
      <c r="F11" s="130"/>
      <c r="G11" s="471"/>
      <c r="H11" s="471"/>
      <c r="I11" s="1218">
        <f>Personalkostenaufstellung!O121</f>
        <v>0</v>
      </c>
      <c r="J11" s="628"/>
      <c r="K11" s="132"/>
      <c r="L11" s="840"/>
      <c r="M11" s="790"/>
      <c r="N11" s="799"/>
      <c r="O11" s="799"/>
      <c r="P11" s="799"/>
      <c r="Q11" s="799"/>
      <c r="R11" s="799"/>
    </row>
    <row r="12" spans="1:18" s="1" customFormat="1" ht="12.75" customHeight="1">
      <c r="A12" s="129"/>
      <c r="B12" s="139"/>
      <c r="C12" s="130"/>
      <c r="D12" s="130" t="s">
        <v>438</v>
      </c>
      <c r="E12" s="130"/>
      <c r="F12" s="133"/>
      <c r="G12" s="468"/>
      <c r="H12" s="468"/>
      <c r="I12" s="469"/>
      <c r="J12" s="628"/>
      <c r="K12" s="132"/>
      <c r="L12" s="828" t="s">
        <v>439</v>
      </c>
      <c r="M12" s="790"/>
      <c r="N12" s="799"/>
      <c r="O12" s="799"/>
      <c r="P12" s="799"/>
      <c r="Q12" s="799"/>
      <c r="R12" s="799"/>
    </row>
    <row r="13" spans="1:18" s="1" customFormat="1" ht="12.75" customHeight="1">
      <c r="A13" s="129"/>
      <c r="B13" s="139"/>
      <c r="C13" s="130"/>
      <c r="D13" s="130" t="s">
        <v>46</v>
      </c>
      <c r="E13" s="130"/>
      <c r="F13" s="130"/>
      <c r="G13" s="468"/>
      <c r="H13" s="468"/>
      <c r="I13" s="469"/>
      <c r="J13" s="628"/>
      <c r="K13" s="132"/>
      <c r="L13" s="840" t="s">
        <v>530</v>
      </c>
      <c r="M13" s="789"/>
      <c r="N13" s="799"/>
      <c r="O13" s="799"/>
      <c r="P13" s="799"/>
      <c r="Q13" s="799"/>
      <c r="R13" s="799"/>
    </row>
    <row r="14" spans="1:18" s="1" customFormat="1" ht="12.75" customHeight="1">
      <c r="A14" s="129"/>
      <c r="B14" s="139"/>
      <c r="C14" s="130" t="s">
        <v>47</v>
      </c>
      <c r="D14" s="1013"/>
      <c r="E14" s="1013" t="str">
        <f>IF('Allgemeine Angaben'!$F$7="4.","/Präsenzkräfte (4. Generation)","")</f>
        <v/>
      </c>
      <c r="F14" s="130"/>
      <c r="G14" s="468"/>
      <c r="H14" s="468"/>
      <c r="I14" s="1218">
        <f>Personalkostenaufstellung!O224</f>
        <v>0</v>
      </c>
      <c r="J14" s="628"/>
      <c r="K14" s="132"/>
      <c r="L14" s="827"/>
      <c r="M14" s="790"/>
      <c r="N14" s="799"/>
      <c r="O14" s="799"/>
      <c r="P14" s="799"/>
      <c r="Q14" s="799"/>
      <c r="R14" s="799"/>
    </row>
    <row r="15" spans="1:18" s="28" customFormat="1" ht="12.75" customHeight="1">
      <c r="A15" s="143"/>
      <c r="B15" s="144"/>
      <c r="C15" s="145"/>
      <c r="D15" s="145"/>
      <c r="E15" s="145"/>
      <c r="F15" s="145"/>
      <c r="G15" s="1223"/>
      <c r="H15" s="1223"/>
      <c r="I15" s="1224"/>
      <c r="J15" s="628"/>
      <c r="K15" s="146"/>
      <c r="L15" s="808"/>
      <c r="M15" s="1225"/>
      <c r="N15" s="400"/>
      <c r="O15" s="400"/>
      <c r="P15" s="400"/>
      <c r="Q15" s="400"/>
      <c r="R15" s="400"/>
    </row>
    <row r="16" spans="1:18" s="1" customFormat="1" ht="8.25" customHeight="1" thickBot="1">
      <c r="A16" s="129"/>
      <c r="B16" s="139"/>
      <c r="C16" s="130"/>
      <c r="D16" s="130"/>
      <c r="E16" s="130"/>
      <c r="F16" s="130"/>
      <c r="G16" s="475"/>
      <c r="H16" s="475"/>
      <c r="I16" s="469"/>
      <c r="J16" s="629"/>
      <c r="K16" s="132"/>
      <c r="L16" s="829"/>
      <c r="M16" s="799"/>
      <c r="N16" s="799"/>
      <c r="O16" s="799"/>
      <c r="P16" s="799"/>
      <c r="Q16" s="799"/>
      <c r="R16" s="799"/>
    </row>
    <row r="17" spans="1:18" s="1" customFormat="1" ht="14.1" customHeight="1" thickBot="1">
      <c r="A17" s="129"/>
      <c r="B17" s="139"/>
      <c r="C17" s="139"/>
      <c r="D17" s="141" t="s">
        <v>223</v>
      </c>
      <c r="E17" s="142"/>
      <c r="F17" s="142"/>
      <c r="G17" s="472">
        <f>SUM(G12:G13,G14:G15)</f>
        <v>0</v>
      </c>
      <c r="H17" s="472">
        <f>SUM(H12:H13,H14:H15)</f>
        <v>0</v>
      </c>
      <c r="I17" s="486" t="str">
        <f>IF(H17=0,"",(((H14*I14)+((H13+H12)*I11)))/H17)</f>
        <v/>
      </c>
      <c r="J17" s="485" t="str">
        <f>IFERROR((H17*I17)*(1+pnk+I57)*(1+risiko),"")</f>
        <v/>
      </c>
      <c r="K17" s="132"/>
      <c r="L17" s="829" t="s">
        <v>445</v>
      </c>
      <c r="M17" s="799"/>
      <c r="N17" s="830"/>
      <c r="O17" s="831"/>
      <c r="P17" s="830"/>
      <c r="Q17" s="799"/>
      <c r="R17" s="799"/>
    </row>
    <row r="18" spans="1:18" s="1" customFormat="1" ht="6" customHeight="1">
      <c r="A18" s="129"/>
      <c r="B18" s="139"/>
      <c r="C18" s="130"/>
      <c r="D18" s="130"/>
      <c r="E18" s="130"/>
      <c r="F18" s="130"/>
      <c r="G18" s="473"/>
      <c r="H18" s="473"/>
      <c r="I18" s="469"/>
      <c r="J18" s="629"/>
      <c r="K18" s="132"/>
      <c r="L18" s="799"/>
      <c r="M18" s="799"/>
      <c r="N18" s="830"/>
      <c r="O18" s="831"/>
      <c r="P18" s="830"/>
      <c r="Q18" s="799"/>
      <c r="R18" s="799"/>
    </row>
    <row r="19" spans="1:18" s="1" customFormat="1" ht="12.75">
      <c r="A19" s="129"/>
      <c r="B19" s="139"/>
      <c r="C19" s="33"/>
      <c r="D19" s="139"/>
      <c r="E19" s="130"/>
      <c r="F19" s="139" t="s">
        <v>48</v>
      </c>
      <c r="G19" s="474" t="str">
        <f>IF(G17=0,"",SUM(G12,G13:G13)/G17)</f>
        <v/>
      </c>
      <c r="H19" s="474" t="str">
        <f>IF(H17=0,"",SUM(H12,H13:H13)/H17)</f>
        <v/>
      </c>
      <c r="I19" s="471"/>
      <c r="J19" s="629"/>
      <c r="K19" s="132"/>
      <c r="L19" s="829" t="s">
        <v>446</v>
      </c>
      <c r="M19" s="799"/>
      <c r="N19" s="830"/>
      <c r="O19" s="831"/>
      <c r="P19" s="830"/>
      <c r="Q19" s="799"/>
      <c r="R19" s="799"/>
    </row>
    <row r="20" spans="1:18" s="1" customFormat="1" ht="12.75" customHeight="1">
      <c r="A20" s="129"/>
      <c r="B20" s="139"/>
      <c r="C20" s="130"/>
      <c r="D20" s="130"/>
      <c r="E20" s="130"/>
      <c r="F20" s="130"/>
      <c r="G20" s="471"/>
      <c r="H20" s="1234" t="str">
        <f>IF(H17&lt;&gt;Personalkostenaufstellung!B227,"VK-Prognose entspricht nicht dem VK-Umfang in der Mappe Personalkostenaufstellung","")</f>
        <v/>
      </c>
      <c r="I20" s="469"/>
      <c r="J20" s="629"/>
      <c r="K20" s="132"/>
      <c r="L20" s="799"/>
      <c r="M20" s="799"/>
      <c r="N20" s="830"/>
      <c r="O20" s="831"/>
      <c r="P20" s="830"/>
      <c r="Q20" s="799"/>
      <c r="R20" s="799"/>
    </row>
    <row r="21" spans="1:18" s="1" customFormat="1" ht="14.1" customHeight="1">
      <c r="A21" s="129"/>
      <c r="B21" s="139" t="s">
        <v>49</v>
      </c>
      <c r="C21" s="139" t="s">
        <v>224</v>
      </c>
      <c r="D21" s="130"/>
      <c r="E21" s="130"/>
      <c r="F21" s="130"/>
      <c r="G21" s="471"/>
      <c r="H21" s="471"/>
      <c r="I21" s="469"/>
      <c r="J21" s="629"/>
      <c r="K21" s="132"/>
      <c r="L21" s="827"/>
      <c r="M21" s="799"/>
      <c r="N21" s="830"/>
      <c r="O21" s="831"/>
      <c r="P21" s="830"/>
      <c r="Q21" s="799"/>
      <c r="R21" s="799"/>
    </row>
    <row r="22" spans="1:18" s="1" customFormat="1" ht="12.75" customHeight="1">
      <c r="A22" s="129"/>
      <c r="B22" s="139"/>
      <c r="C22" s="130" t="s">
        <v>261</v>
      </c>
      <c r="E22" s="130"/>
      <c r="F22" s="130"/>
      <c r="G22" s="468"/>
      <c r="H22" s="468"/>
      <c r="I22" s="469"/>
      <c r="J22" s="629"/>
      <c r="K22" s="132"/>
      <c r="L22" s="1012" t="s">
        <v>549</v>
      </c>
      <c r="M22" s="799"/>
      <c r="N22" s="830"/>
      <c r="O22" s="831"/>
      <c r="P22" s="830"/>
      <c r="Q22" s="799"/>
      <c r="R22" s="799"/>
    </row>
    <row r="23" spans="1:18" s="1" customFormat="1" ht="12.75" customHeight="1">
      <c r="A23" s="129"/>
      <c r="B23" s="139"/>
      <c r="C23" s="130" t="s">
        <v>225</v>
      </c>
      <c r="E23" s="130"/>
      <c r="F23" s="130"/>
      <c r="G23" s="468"/>
      <c r="H23" s="468"/>
      <c r="I23" s="469"/>
      <c r="J23" s="629"/>
      <c r="K23" s="132"/>
      <c r="L23" s="840" t="s">
        <v>547</v>
      </c>
      <c r="M23" s="799"/>
      <c r="N23" s="830"/>
      <c r="O23" s="831"/>
      <c r="P23" s="830"/>
      <c r="Q23" s="799"/>
      <c r="R23" s="799"/>
    </row>
    <row r="24" spans="1:18" s="1" customFormat="1" ht="12.75" customHeight="1">
      <c r="A24" s="129"/>
      <c r="B24" s="139"/>
      <c r="C24" s="130" t="s">
        <v>260</v>
      </c>
      <c r="E24" s="130"/>
      <c r="F24" s="130"/>
      <c r="G24" s="720"/>
      <c r="H24" s="720"/>
      <c r="I24" s="1235" t="str">
        <f>IF(AND('Allgemeine Angaben'!F7&lt;&gt;"4.",H24&gt;0),"Eintragung nur bei Einrichtungen der 4. Generation!","")</f>
        <v/>
      </c>
      <c r="J24" s="629"/>
      <c r="K24" s="132"/>
      <c r="L24" s="840" t="s">
        <v>550</v>
      </c>
      <c r="M24" s="799"/>
      <c r="N24" s="830"/>
      <c r="O24" s="831"/>
      <c r="P24" s="830"/>
      <c r="Q24" s="799"/>
      <c r="R24" s="799"/>
    </row>
    <row r="25" spans="1:18" s="1" customFormat="1" ht="8.25" customHeight="1" thickBot="1">
      <c r="A25" s="129"/>
      <c r="B25" s="139"/>
      <c r="C25" s="130"/>
      <c r="D25" s="130"/>
      <c r="E25" s="130"/>
      <c r="F25" s="130"/>
      <c r="G25" s="475"/>
      <c r="H25" s="475"/>
      <c r="I25" s="469"/>
      <c r="J25" s="629"/>
      <c r="K25" s="132"/>
      <c r="L25" s="799"/>
      <c r="M25" s="832"/>
      <c r="N25" s="830"/>
      <c r="O25" s="831"/>
      <c r="P25" s="830"/>
      <c r="Q25" s="799"/>
      <c r="R25" s="799"/>
    </row>
    <row r="26" spans="1:18" s="1" customFormat="1" ht="14.1" customHeight="1" thickBot="1">
      <c r="A26" s="129"/>
      <c r="B26" s="139"/>
      <c r="C26" s="130"/>
      <c r="D26" s="141" t="s">
        <v>278</v>
      </c>
      <c r="E26" s="142"/>
      <c r="F26" s="142"/>
      <c r="G26" s="638">
        <f>SUM(G22:G24)</f>
        <v>0</v>
      </c>
      <c r="H26" s="638">
        <f>SUM(H22:H24)</f>
        <v>0</v>
      </c>
      <c r="I26" s="1219">
        <f>Personalkostenaufstellung!O245</f>
        <v>0</v>
      </c>
      <c r="J26" s="485" t="str">
        <f>IFERROR((H26*I26)*(1+pnk+I57)*(1+risiko),"")</f>
        <v/>
      </c>
      <c r="K26" s="132"/>
      <c r="L26" s="833"/>
      <c r="M26" s="799"/>
      <c r="N26" s="830"/>
      <c r="O26" s="831"/>
      <c r="P26" s="830"/>
      <c r="Q26" s="799"/>
      <c r="R26" s="799"/>
    </row>
    <row r="27" spans="1:18" s="1" customFormat="1" ht="12.75">
      <c r="A27" s="129"/>
      <c r="B27" s="139"/>
      <c r="C27" s="130"/>
      <c r="D27" s="130"/>
      <c r="E27" s="130"/>
      <c r="F27" s="130"/>
      <c r="G27" s="471"/>
      <c r="H27" s="1236" t="str">
        <f>IF(H26&lt;&gt;Personalkostenaufstellung!B245,"VK-Prognose entspricht nicht dem VK-Umfang in der Mappe Personalkostenaufstellung","")</f>
        <v/>
      </c>
      <c r="I27" s="471"/>
      <c r="J27" s="628"/>
      <c r="K27" s="132"/>
      <c r="L27" s="1135" t="s">
        <v>747</v>
      </c>
      <c r="M27" s="799"/>
      <c r="N27" s="830"/>
      <c r="O27" s="831"/>
      <c r="P27" s="830"/>
      <c r="Q27" s="799"/>
      <c r="R27" s="799"/>
    </row>
    <row r="28" spans="1:18" s="1" customFormat="1" ht="14.1" customHeight="1" thickBot="1">
      <c r="A28" s="129"/>
      <c r="B28" s="139" t="s">
        <v>50</v>
      </c>
      <c r="C28" s="139" t="s">
        <v>61</v>
      </c>
      <c r="D28" s="130"/>
      <c r="E28" s="130"/>
      <c r="F28" s="130"/>
      <c r="G28" s="470"/>
      <c r="H28" s="470"/>
      <c r="I28" s="470"/>
      <c r="J28" s="630"/>
      <c r="K28" s="132"/>
      <c r="L28" s="1185" t="s">
        <v>759</v>
      </c>
      <c r="M28" s="790"/>
      <c r="N28" s="830"/>
      <c r="O28" s="831"/>
      <c r="P28" s="830"/>
      <c r="Q28" s="799"/>
      <c r="R28" s="799"/>
    </row>
    <row r="29" spans="1:18" s="1" customFormat="1" ht="14.1" customHeight="1" thickBot="1">
      <c r="A29" s="129"/>
      <c r="B29" s="139"/>
      <c r="C29" s="139" t="s">
        <v>62</v>
      </c>
      <c r="D29" s="130"/>
      <c r="E29" s="130"/>
      <c r="F29" s="130"/>
      <c r="G29" s="468"/>
      <c r="H29" s="468"/>
      <c r="I29" s="1219">
        <f>Personalkostenaufstellung!O274</f>
        <v>0</v>
      </c>
      <c r="J29" s="485" t="str">
        <f>IFERROR((H29*I29)*(1+pnk+I57)*(1+risiko),"")</f>
        <v/>
      </c>
      <c r="K29" s="132"/>
      <c r="L29" s="1185" t="s">
        <v>753</v>
      </c>
      <c r="M29" s="799"/>
      <c r="N29" s="830"/>
      <c r="O29" s="831"/>
      <c r="P29" s="830"/>
      <c r="Q29" s="799"/>
      <c r="R29" s="799"/>
    </row>
    <row r="30" spans="1:18" s="1" customFormat="1" ht="12.75" customHeight="1">
      <c r="A30" s="129"/>
      <c r="B30" s="130"/>
      <c r="C30" s="130"/>
      <c r="D30" s="130"/>
      <c r="E30" s="130"/>
      <c r="F30" s="130"/>
      <c r="G30" s="471"/>
      <c r="H30" s="1237" t="str">
        <f>IF(H29=0,"",IF(H29&lt;&gt;Forderung!L26,"entspricht nicht 1:20!",""))</f>
        <v/>
      </c>
      <c r="I30" s="469"/>
      <c r="J30" s="629"/>
      <c r="K30" s="132"/>
      <c r="L30" s="1185" t="s">
        <v>754</v>
      </c>
      <c r="M30" s="799"/>
      <c r="N30" s="830"/>
      <c r="O30" s="831"/>
      <c r="P30" s="830"/>
      <c r="Q30" s="799"/>
      <c r="R30" s="799"/>
    </row>
    <row r="31" spans="1:18" s="1" customFormat="1" ht="14.1" customHeight="1">
      <c r="A31" s="129"/>
      <c r="B31" s="139" t="s">
        <v>54</v>
      </c>
      <c r="C31" s="139" t="s">
        <v>51</v>
      </c>
      <c r="D31" s="130"/>
      <c r="E31" s="130"/>
      <c r="F31" s="130"/>
      <c r="G31" s="471"/>
      <c r="H31" s="1236" t="str">
        <f>IF(H29&lt;&gt;Personalkostenaufstellung!B274,"VK-Prognose entspricht nicht dem VK-Umfang in der Mappe Personalkostenaufstellung","")</f>
        <v/>
      </c>
      <c r="I31" s="469"/>
      <c r="J31" s="629"/>
      <c r="K31" s="132"/>
      <c r="L31" s="1185" t="s">
        <v>755</v>
      </c>
      <c r="M31" s="799"/>
      <c r="N31" s="830"/>
      <c r="O31" s="831"/>
      <c r="P31" s="830"/>
      <c r="Q31" s="799"/>
      <c r="R31" s="799"/>
    </row>
    <row r="32" spans="1:18" s="1" customFormat="1" ht="12.75" customHeight="1">
      <c r="A32" s="129"/>
      <c r="B32" s="139"/>
      <c r="C32" s="130" t="s">
        <v>213</v>
      </c>
      <c r="E32" s="130"/>
      <c r="F32" s="130"/>
      <c r="G32" s="468"/>
      <c r="H32" s="468"/>
      <c r="I32" s="469"/>
      <c r="J32" s="629"/>
      <c r="K32" s="132"/>
      <c r="L32" s="1185" t="s">
        <v>756</v>
      </c>
      <c r="M32" s="799"/>
      <c r="N32" s="830"/>
      <c r="O32" s="799"/>
      <c r="P32" s="799"/>
      <c r="Q32" s="799"/>
      <c r="R32" s="799"/>
    </row>
    <row r="33" spans="1:18" s="1" customFormat="1" ht="12.75" customHeight="1" thickBot="1">
      <c r="A33" s="129"/>
      <c r="B33" s="139"/>
      <c r="C33" s="130" t="s">
        <v>52</v>
      </c>
      <c r="E33" s="130"/>
      <c r="F33" s="130"/>
      <c r="G33" s="468"/>
      <c r="H33" s="468"/>
      <c r="I33" s="469"/>
      <c r="J33" s="629"/>
      <c r="K33" s="132"/>
      <c r="L33" s="1185" t="s">
        <v>757</v>
      </c>
      <c r="M33" s="799"/>
      <c r="N33" s="799"/>
      <c r="O33" s="799"/>
      <c r="P33" s="799"/>
      <c r="Q33" s="799"/>
      <c r="R33" s="799"/>
    </row>
    <row r="34" spans="1:18" s="1" customFormat="1" ht="14.1" customHeight="1" thickBot="1">
      <c r="A34" s="129"/>
      <c r="B34" s="139"/>
      <c r="C34" s="139"/>
      <c r="D34" s="141" t="s">
        <v>53</v>
      </c>
      <c r="E34" s="142"/>
      <c r="F34" s="142"/>
      <c r="G34" s="639">
        <f>SUM(G32:G33)</f>
        <v>0</v>
      </c>
      <c r="H34" s="639">
        <f>SUM(H32:H33)</f>
        <v>0</v>
      </c>
      <c r="I34" s="1219">
        <f>Personalkostenaufstellung!O297</f>
        <v>0</v>
      </c>
      <c r="J34" s="485" t="str">
        <f>IFERROR((H34*I34)*(1+pnk+I57)*(1+risiko),"")</f>
        <v/>
      </c>
      <c r="K34" s="132"/>
      <c r="L34" s="1185" t="s">
        <v>758</v>
      </c>
      <c r="M34" s="799"/>
      <c r="N34" s="799"/>
      <c r="O34" s="799"/>
      <c r="P34" s="799"/>
      <c r="Q34" s="799"/>
      <c r="R34" s="799"/>
    </row>
    <row r="35" spans="1:18" s="1" customFormat="1" ht="12.75" customHeight="1">
      <c r="A35" s="129"/>
      <c r="B35" s="139"/>
      <c r="C35" s="130"/>
      <c r="D35" s="130"/>
      <c r="E35" s="130"/>
      <c r="F35" s="130"/>
      <c r="G35" s="471"/>
      <c r="H35" s="1236" t="str">
        <f>IF(H34&lt;&gt;Personalkostenaufstellung!B297,"VK-Prognose entspricht nicht dem VK-Umfang in der Mappe Personalkostenaufstellung","")</f>
        <v/>
      </c>
      <c r="I35" s="469"/>
      <c r="J35" s="629"/>
      <c r="K35" s="132"/>
      <c r="L35" s="1185" t="s">
        <v>760</v>
      </c>
      <c r="M35" s="799"/>
      <c r="N35" s="799"/>
      <c r="O35" s="799"/>
      <c r="P35" s="799"/>
      <c r="Q35" s="799"/>
      <c r="R35" s="799"/>
    </row>
    <row r="36" spans="1:18" s="1" customFormat="1" ht="14.1" customHeight="1">
      <c r="A36" s="129"/>
      <c r="B36" s="139" t="s">
        <v>55</v>
      </c>
      <c r="C36" s="139" t="s">
        <v>128</v>
      </c>
      <c r="D36" s="130"/>
      <c r="E36" s="130"/>
      <c r="F36" s="130"/>
      <c r="G36" s="471"/>
      <c r="H36" s="1189"/>
      <c r="I36" s="469"/>
      <c r="J36" s="629"/>
      <c r="K36" s="132"/>
      <c r="L36" s="1185" t="s">
        <v>761</v>
      </c>
      <c r="M36" s="799"/>
      <c r="N36" s="799"/>
      <c r="O36" s="799"/>
      <c r="P36" s="799"/>
      <c r="Q36" s="799"/>
      <c r="R36" s="799"/>
    </row>
    <row r="37" spans="1:18" s="1" customFormat="1" ht="12.75">
      <c r="A37" s="129"/>
      <c r="B37" s="139"/>
      <c r="C37" s="130" t="s">
        <v>262</v>
      </c>
      <c r="E37" s="130"/>
      <c r="F37" s="130"/>
      <c r="G37" s="468"/>
      <c r="H37" s="468"/>
      <c r="I37" s="469"/>
      <c r="J37" s="629"/>
      <c r="K37" s="132"/>
      <c r="L37" s="1185" t="s">
        <v>762</v>
      </c>
      <c r="M37" s="799"/>
      <c r="N37" s="799"/>
      <c r="O37" s="799"/>
      <c r="P37" s="799"/>
      <c r="Q37" s="799"/>
      <c r="R37" s="799"/>
    </row>
    <row r="38" spans="1:18" s="1" customFormat="1" ht="13.5" thickBot="1">
      <c r="A38" s="129"/>
      <c r="B38" s="139"/>
      <c r="C38" s="130" t="s">
        <v>260</v>
      </c>
      <c r="D38" s="130"/>
      <c r="E38" s="130"/>
      <c r="F38" s="130"/>
      <c r="G38" s="720"/>
      <c r="H38" s="720"/>
      <c r="I38" s="469"/>
      <c r="J38" s="629"/>
      <c r="K38" s="132"/>
      <c r="L38" s="1185" t="s">
        <v>763</v>
      </c>
      <c r="M38" s="799"/>
      <c r="N38" s="834"/>
      <c r="O38" s="799"/>
      <c r="P38" s="799"/>
      <c r="Q38" s="799"/>
      <c r="R38" s="799"/>
    </row>
    <row r="39" spans="1:18" s="1" customFormat="1" ht="13.5" thickBot="1">
      <c r="A39" s="129"/>
      <c r="B39" s="139"/>
      <c r="C39" s="130"/>
      <c r="D39" s="141" t="s">
        <v>263</v>
      </c>
      <c r="E39" s="142"/>
      <c r="F39" s="142"/>
      <c r="G39" s="639">
        <f>SUM(G37:G38)</f>
        <v>0</v>
      </c>
      <c r="H39" s="639">
        <f>SUM(H37:H38)</f>
        <v>0</v>
      </c>
      <c r="I39" s="1219">
        <f>Personalkostenaufstellung!O330</f>
        <v>0</v>
      </c>
      <c r="J39" s="485" t="str">
        <f>IFERROR((H39*I39)*(1+pnk+I57)*(1+risiko),"")</f>
        <v/>
      </c>
      <c r="K39" s="132"/>
      <c r="L39" s="1185" t="s">
        <v>767</v>
      </c>
      <c r="M39" s="799"/>
      <c r="N39" s="799"/>
      <c r="O39" s="799"/>
      <c r="P39" s="799"/>
      <c r="Q39" s="799"/>
      <c r="R39" s="799"/>
    </row>
    <row r="40" spans="1:18" s="1" customFormat="1" ht="12.75" customHeight="1" thickBot="1">
      <c r="A40" s="129"/>
      <c r="B40" s="139"/>
      <c r="C40" s="130"/>
      <c r="D40" s="130"/>
      <c r="E40" s="130"/>
      <c r="F40" s="130"/>
      <c r="G40" s="470"/>
      <c r="H40" s="1238" t="str">
        <f>IF(H39&lt;&gt;Personalkostenaufstellung!B330,"VK-Prognose entspricht nicht dem VK-Umfang in der Mappe Personalkostenaufstellung","")</f>
        <v/>
      </c>
      <c r="I40" s="470"/>
      <c r="J40" s="630"/>
      <c r="K40" s="132"/>
      <c r="L40" s="799"/>
      <c r="M40" s="799"/>
      <c r="N40" s="799"/>
      <c r="O40" s="799"/>
      <c r="P40" s="799"/>
      <c r="Q40" s="799"/>
      <c r="R40" s="799"/>
    </row>
    <row r="41" spans="1:18" s="1" customFormat="1" ht="13.5" thickBot="1">
      <c r="A41" s="129"/>
      <c r="B41" s="139" t="s">
        <v>57</v>
      </c>
      <c r="C41" s="139" t="s">
        <v>56</v>
      </c>
      <c r="D41" s="130"/>
      <c r="E41" s="130"/>
      <c r="F41" s="130"/>
      <c r="G41" s="468"/>
      <c r="H41" s="468"/>
      <c r="I41" s="1219">
        <f>Personalkostenaufstellung!O363</f>
        <v>0</v>
      </c>
      <c r="J41" s="485" t="str">
        <f>IFERROR((H41*I41)*(1+pnk+I57)*(1+risiko),"")</f>
        <v/>
      </c>
      <c r="K41" s="132"/>
      <c r="L41" s="799"/>
      <c r="M41" s="799"/>
      <c r="N41" s="834"/>
      <c r="O41" s="799"/>
      <c r="P41" s="799"/>
      <c r="Q41" s="799"/>
      <c r="R41" s="799"/>
    </row>
    <row r="42" spans="1:18" s="1" customFormat="1" ht="12.75" customHeight="1" thickBot="1">
      <c r="A42" s="129"/>
      <c r="B42" s="139"/>
      <c r="C42" s="130"/>
      <c r="D42" s="130"/>
      <c r="E42" s="130"/>
      <c r="F42" s="130"/>
      <c r="G42" s="471"/>
      <c r="H42" s="1236" t="str">
        <f>IF(H41&lt;&gt;Personalkostenaufstellung!B363,"VK-Prognose entspricht nicht dem VK-Umfang in der Mappe Personalkostenaufstellung","")</f>
        <v/>
      </c>
      <c r="I42" s="469"/>
      <c r="J42" s="629"/>
      <c r="K42" s="132"/>
      <c r="L42" s="799"/>
      <c r="M42" s="799"/>
      <c r="N42" s="799"/>
      <c r="O42" s="799"/>
      <c r="P42" s="799"/>
      <c r="Q42" s="799"/>
      <c r="R42" s="799"/>
    </row>
    <row r="43" spans="1:18" s="1" customFormat="1" ht="13.5" thickBot="1">
      <c r="A43" s="129"/>
      <c r="B43" s="139" t="s">
        <v>59</v>
      </c>
      <c r="C43" s="139" t="s">
        <v>58</v>
      </c>
      <c r="D43" s="130"/>
      <c r="E43" s="130"/>
      <c r="F43" s="130"/>
      <c r="G43" s="468"/>
      <c r="H43" s="468"/>
      <c r="I43" s="1219">
        <f>Personalkostenaufstellung!O376</f>
        <v>0</v>
      </c>
      <c r="J43" s="485" t="str">
        <f>IFERROR((H43*I43)*(1+pnk+I57)*(1+risiko),"")</f>
        <v/>
      </c>
      <c r="K43" s="132"/>
      <c r="L43" s="799"/>
      <c r="M43" s="799"/>
      <c r="N43" s="799"/>
      <c r="O43" s="799"/>
      <c r="P43" s="799"/>
      <c r="Q43" s="799"/>
      <c r="R43" s="799"/>
    </row>
    <row r="44" spans="1:18" s="1" customFormat="1" ht="12.75">
      <c r="A44" s="129"/>
      <c r="B44" s="139"/>
      <c r="C44" s="139"/>
      <c r="D44" s="130"/>
      <c r="E44" s="130"/>
      <c r="F44" s="130"/>
      <c r="G44" s="130"/>
      <c r="H44" s="136" t="str">
        <f>IF(H43&lt;&gt;Personalkostenaufstellung!B376,"VK-Prognose entspricht nicht dem VK-Umfang in der Mappe Personalkostenaufstellung","")</f>
        <v/>
      </c>
      <c r="I44" s="130"/>
      <c r="J44" s="629"/>
      <c r="K44" s="132"/>
      <c r="L44" s="799"/>
      <c r="M44" s="799"/>
      <c r="N44" s="799"/>
      <c r="O44" s="799"/>
      <c r="P44" s="799"/>
      <c r="Q44" s="799"/>
      <c r="R44" s="799"/>
    </row>
    <row r="45" spans="1:18" s="28" customFormat="1" ht="12.75">
      <c r="A45" s="143"/>
      <c r="B45" s="1220"/>
      <c r="C45" s="1220"/>
      <c r="D45" s="537"/>
      <c r="E45" s="537"/>
      <c r="F45" s="537"/>
      <c r="G45" s="1221"/>
      <c r="H45" s="1221"/>
      <c r="I45" s="1222"/>
      <c r="J45" s="629"/>
      <c r="K45" s="146"/>
      <c r="L45" s="822" t="s">
        <v>476</v>
      </c>
      <c r="M45" s="820"/>
      <c r="N45" s="820"/>
      <c r="O45" s="820"/>
      <c r="P45" s="820"/>
      <c r="Q45" s="400"/>
      <c r="R45" s="400"/>
    </row>
    <row r="46" spans="1:18" s="1" customFormat="1" ht="12.75">
      <c r="A46" s="129"/>
      <c r="B46" s="139"/>
      <c r="C46" s="139"/>
      <c r="D46" s="130"/>
      <c r="E46" s="130"/>
      <c r="F46" s="130"/>
      <c r="G46" s="471"/>
      <c r="H46" s="601"/>
      <c r="I46" s="471"/>
      <c r="J46" s="628"/>
      <c r="K46" s="132"/>
      <c r="L46" s="837"/>
      <c r="M46" s="799"/>
      <c r="N46" s="799"/>
      <c r="O46" s="799"/>
      <c r="P46" s="799"/>
      <c r="Q46" s="799"/>
      <c r="R46" s="799"/>
    </row>
    <row r="47" spans="1:18" s="1" customFormat="1" ht="13.5" thickBot="1">
      <c r="A47" s="129"/>
      <c r="B47" s="139"/>
      <c r="C47" s="462" t="s">
        <v>269</v>
      </c>
      <c r="D47" s="463"/>
      <c r="E47" s="463"/>
      <c r="F47" s="463"/>
      <c r="G47" s="476"/>
      <c r="H47" s="476"/>
      <c r="I47" s="1239" t="e">
        <f>H17*I17+H26*I26+H29*I29+H34*I34+H39*I39+H41*I41+H43*I43</f>
        <v>#VALUE!</v>
      </c>
      <c r="J47" s="631">
        <f>IFERROR(ROUND(SUM(J17,J26,J29,J34,J39,J41,J43),2),"")</f>
        <v>0</v>
      </c>
      <c r="K47" s="132"/>
      <c r="L47" s="829" t="s">
        <v>477</v>
      </c>
      <c r="M47" s="799"/>
      <c r="N47" s="799"/>
      <c r="O47" s="799"/>
      <c r="P47" s="799"/>
      <c r="Q47" s="799"/>
      <c r="R47" s="799"/>
    </row>
    <row r="48" spans="1:18" s="1" customFormat="1" ht="12.75" customHeight="1" thickTop="1">
      <c r="A48" s="129"/>
      <c r="B48" s="139"/>
      <c r="C48" s="139"/>
      <c r="D48" s="130"/>
      <c r="E48" s="130"/>
      <c r="F48" s="130"/>
      <c r="G48" s="130"/>
      <c r="H48" s="130"/>
      <c r="I48" s="130"/>
      <c r="J48" s="627"/>
      <c r="K48" s="132"/>
      <c r="L48" s="829" t="s">
        <v>478</v>
      </c>
      <c r="M48" s="799"/>
      <c r="N48" s="799"/>
      <c r="O48" s="799"/>
      <c r="P48" s="799"/>
      <c r="Q48" s="799"/>
      <c r="R48" s="799"/>
    </row>
    <row r="49" spans="1:18" s="1" customFormat="1" ht="12.75">
      <c r="A49" s="129"/>
      <c r="B49" s="32" t="s">
        <v>271</v>
      </c>
      <c r="C49" s="32" t="s">
        <v>226</v>
      </c>
      <c r="D49" s="32"/>
      <c r="E49" s="24"/>
      <c r="F49" s="33"/>
      <c r="G49" s="33"/>
      <c r="H49" s="33"/>
      <c r="J49" s="632"/>
      <c r="K49" s="132"/>
      <c r="L49" s="1210" t="s">
        <v>786</v>
      </c>
      <c r="M49" s="799"/>
      <c r="N49" s="799"/>
      <c r="O49" s="799"/>
      <c r="P49" s="799"/>
      <c r="Q49" s="799"/>
      <c r="R49" s="799"/>
    </row>
    <row r="50" spans="1:18" s="1" customFormat="1" ht="12.75" customHeight="1">
      <c r="A50" s="129"/>
      <c r="B50" s="139"/>
      <c r="C50" s="130"/>
      <c r="D50" s="130" t="s">
        <v>264</v>
      </c>
      <c r="E50" s="130"/>
      <c r="F50" s="466"/>
      <c r="G50" s="467" t="s">
        <v>270</v>
      </c>
      <c r="H50" s="461"/>
      <c r="I50" s="477"/>
      <c r="J50" s="543"/>
      <c r="K50" s="132"/>
      <c r="L50" s="1210" t="s">
        <v>788</v>
      </c>
      <c r="M50" s="799"/>
      <c r="N50" s="799"/>
      <c r="O50" s="799"/>
      <c r="P50" s="799"/>
      <c r="Q50" s="799"/>
      <c r="R50" s="799"/>
    </row>
    <row r="51" spans="1:18" s="1" customFormat="1" ht="12.75" customHeight="1">
      <c r="A51" s="129"/>
      <c r="B51" s="139"/>
      <c r="C51" s="130"/>
      <c r="D51" s="23" t="s">
        <v>265</v>
      </c>
      <c r="E51" s="130"/>
      <c r="F51" s="466"/>
      <c r="G51" s="467" t="s">
        <v>270</v>
      </c>
      <c r="H51" s="461"/>
      <c r="I51" s="477"/>
      <c r="J51" s="543"/>
      <c r="K51" s="132"/>
      <c r="L51" s="1210" t="s">
        <v>809</v>
      </c>
      <c r="M51" s="799"/>
      <c r="N51" s="799"/>
      <c r="O51" s="799"/>
      <c r="P51" s="799"/>
      <c r="Q51" s="799"/>
      <c r="R51" s="799"/>
    </row>
    <row r="52" spans="1:18" s="1" customFormat="1" ht="12.75" customHeight="1">
      <c r="A52" s="129"/>
      <c r="B52" s="139"/>
      <c r="C52" s="130"/>
      <c r="D52" s="23" t="s">
        <v>266</v>
      </c>
      <c r="E52" s="130"/>
      <c r="F52" s="466"/>
      <c r="G52" s="467" t="s">
        <v>270</v>
      </c>
      <c r="H52" s="461"/>
      <c r="I52" s="477"/>
      <c r="J52" s="543"/>
      <c r="K52" s="132"/>
      <c r="L52" s="1210" t="s">
        <v>789</v>
      </c>
      <c r="M52" s="799"/>
      <c r="N52" s="799"/>
      <c r="O52" s="799"/>
      <c r="P52" s="799"/>
      <c r="Q52" s="799"/>
      <c r="R52" s="799"/>
    </row>
    <row r="53" spans="1:18" s="1" customFormat="1" ht="12.75" customHeight="1">
      <c r="A53" s="129"/>
      <c r="B53" s="139"/>
      <c r="C53" s="130"/>
      <c r="D53" s="23" t="s">
        <v>267</v>
      </c>
      <c r="E53" s="130"/>
      <c r="F53" s="130"/>
      <c r="G53" s="712" t="s">
        <v>270</v>
      </c>
      <c r="H53" s="461"/>
      <c r="I53" s="477"/>
      <c r="J53" s="543"/>
      <c r="K53" s="132"/>
      <c r="L53" s="1210" t="s">
        <v>790</v>
      </c>
      <c r="M53" s="799"/>
      <c r="N53" s="799"/>
      <c r="O53" s="799"/>
      <c r="P53" s="799"/>
      <c r="Q53" s="799"/>
      <c r="R53" s="799"/>
    </row>
    <row r="54" spans="1:18" s="1" customFormat="1" ht="12.75" customHeight="1" thickBot="1">
      <c r="A54" s="129"/>
      <c r="B54" s="130"/>
      <c r="C54" s="130"/>
      <c r="D54" s="23"/>
      <c r="E54" s="130"/>
      <c r="F54" s="713"/>
      <c r="G54" s="722"/>
      <c r="H54" s="723"/>
      <c r="I54" s="477"/>
      <c r="J54" s="543"/>
      <c r="K54" s="132"/>
      <c r="L54" s="1210" t="s">
        <v>807</v>
      </c>
      <c r="M54" s="799"/>
      <c r="N54" s="799"/>
      <c r="O54" s="799"/>
      <c r="P54" s="799"/>
      <c r="Q54" s="799"/>
      <c r="R54" s="799"/>
    </row>
    <row r="55" spans="1:18" s="1" customFormat="1" ht="12.75" customHeight="1" thickBot="1">
      <c r="A55" s="129"/>
      <c r="B55" s="130"/>
      <c r="C55" s="130"/>
      <c r="D55" s="141" t="s">
        <v>268</v>
      </c>
      <c r="E55" s="142"/>
      <c r="F55" s="142"/>
      <c r="G55" s="130"/>
      <c r="H55" s="478"/>
      <c r="I55" s="484" t="str">
        <f>IFERROR(ROUND(J55/I47,4),"")</f>
        <v/>
      </c>
      <c r="J55" s="485">
        <f>SUM(H50:H53)</f>
        <v>0</v>
      </c>
      <c r="K55" s="132"/>
      <c r="L55" s="1210" t="s">
        <v>791</v>
      </c>
      <c r="M55" s="799"/>
      <c r="N55" s="799"/>
      <c r="O55" s="799"/>
      <c r="P55" s="799"/>
      <c r="Q55" s="799"/>
      <c r="R55" s="799"/>
    </row>
    <row r="56" spans="1:18" s="1" customFormat="1" ht="12.75" customHeight="1" thickBot="1">
      <c r="A56" s="129"/>
      <c r="B56" s="130"/>
      <c r="C56" s="130"/>
      <c r="D56" s="23"/>
      <c r="E56" s="130"/>
      <c r="F56" s="130"/>
      <c r="G56" s="130"/>
      <c r="H56" s="478"/>
      <c r="I56" s="1209"/>
      <c r="J56" s="543"/>
      <c r="K56" s="132"/>
      <c r="L56" s="1210" t="s">
        <v>792</v>
      </c>
      <c r="M56" s="799"/>
      <c r="N56" s="799"/>
      <c r="O56" s="799"/>
      <c r="P56" s="799"/>
      <c r="Q56" s="799"/>
      <c r="R56" s="799"/>
    </row>
    <row r="57" spans="1:18" s="1" customFormat="1" ht="12.75" customHeight="1" thickBot="1">
      <c r="A57" s="129"/>
      <c r="B57" s="32" t="s">
        <v>271</v>
      </c>
      <c r="C57" s="32" t="s">
        <v>787</v>
      </c>
      <c r="D57" s="23"/>
      <c r="E57" s="130"/>
      <c r="F57" s="130"/>
      <c r="G57" s="130"/>
      <c r="H57" s="478"/>
      <c r="I57" s="1240" t="str">
        <f>IFERROR(ROUND(J57/I47,4),"")</f>
        <v/>
      </c>
      <c r="J57" s="1324"/>
      <c r="K57" s="132"/>
      <c r="L57" s="1210" t="s">
        <v>793</v>
      </c>
      <c r="M57" s="799"/>
      <c r="N57" s="799"/>
      <c r="O57" s="799"/>
      <c r="P57" s="799"/>
      <c r="Q57" s="799"/>
      <c r="R57" s="799"/>
    </row>
    <row r="58" spans="1:18" s="1" customFormat="1" ht="12.75" customHeight="1" thickBot="1">
      <c r="A58" s="129"/>
      <c r="B58" s="130"/>
      <c r="C58" s="1244" t="str">
        <f>IF(J57&gt;0,"Bitte Forderung für steuerfreie Sachbezüge nach § 8 Abs. 2 EStG begründen.","")</f>
        <v/>
      </c>
      <c r="D58" s="23"/>
      <c r="E58" s="130"/>
      <c r="F58" s="130"/>
      <c r="G58" s="130"/>
      <c r="H58" s="478"/>
      <c r="I58" s="477"/>
      <c r="J58" s="543"/>
      <c r="K58" s="132"/>
      <c r="L58" s="1210" t="s">
        <v>797</v>
      </c>
      <c r="M58" s="799"/>
      <c r="N58" s="799"/>
      <c r="O58" s="799"/>
      <c r="P58" s="799"/>
      <c r="Q58" s="799"/>
      <c r="R58" s="799"/>
    </row>
    <row r="59" spans="1:18" s="1" customFormat="1" ht="12.75" customHeight="1" thickBot="1">
      <c r="A59" s="129"/>
      <c r="B59" s="32" t="s">
        <v>271</v>
      </c>
      <c r="C59" s="32" t="s">
        <v>594</v>
      </c>
      <c r="D59" s="23"/>
      <c r="E59" s="130"/>
      <c r="F59" s="130"/>
      <c r="G59" s="464"/>
      <c r="H59" s="465" t="s">
        <v>373</v>
      </c>
      <c r="I59" s="620"/>
      <c r="J59" s="486" t="str">
        <f>IFERROR(I47*risiko,"")</f>
        <v/>
      </c>
      <c r="K59" s="132"/>
      <c r="L59" s="1210" t="s">
        <v>795</v>
      </c>
      <c r="M59" s="836"/>
      <c r="N59" s="799"/>
      <c r="O59" s="799"/>
      <c r="P59" s="799"/>
      <c r="Q59" s="799"/>
      <c r="R59" s="799"/>
    </row>
    <row r="60" spans="1:18" s="1" customFormat="1" ht="12.75" customHeight="1">
      <c r="A60" s="129"/>
      <c r="B60" s="130"/>
      <c r="C60" s="130"/>
      <c r="D60" s="23"/>
      <c r="E60" s="130"/>
      <c r="F60" s="130"/>
      <c r="G60" s="130"/>
      <c r="H60" s="478"/>
      <c r="I60" s="1242" t="str">
        <f>IF(risiko&gt;0.02,"Hinweis: Risiken über 2 % sind zu begründen und mit Nachweisen zu belegen","")</f>
        <v/>
      </c>
      <c r="J60" s="543"/>
      <c r="K60" s="132"/>
      <c r="L60" s="1210" t="s">
        <v>796</v>
      </c>
      <c r="M60" s="799"/>
      <c r="N60" s="799"/>
      <c r="O60" s="799"/>
      <c r="P60" s="799"/>
      <c r="Q60" s="799"/>
      <c r="R60" s="799"/>
    </row>
    <row r="61" spans="1:18" s="1" customFormat="1" ht="12.75" customHeight="1" thickBot="1">
      <c r="A61" s="129"/>
      <c r="B61" s="130"/>
      <c r="C61" s="130"/>
      <c r="D61" s="23"/>
      <c r="E61" s="130"/>
      <c r="F61" s="130"/>
      <c r="G61" s="578" t="s">
        <v>365</v>
      </c>
      <c r="H61" s="578" t="s">
        <v>365</v>
      </c>
      <c r="I61" s="731" t="s">
        <v>421</v>
      </c>
      <c r="J61" s="543"/>
      <c r="K61" s="132"/>
      <c r="L61" s="1210" t="s">
        <v>798</v>
      </c>
      <c r="M61" s="799"/>
      <c r="N61" s="799"/>
      <c r="O61" s="799"/>
      <c r="P61" s="799"/>
      <c r="Q61" s="799"/>
      <c r="R61" s="799"/>
    </row>
    <row r="62" spans="1:18" s="1" customFormat="1" ht="13.5" thickBot="1">
      <c r="A62" s="129"/>
      <c r="B62" s="139" t="s">
        <v>60</v>
      </c>
      <c r="C62" s="139" t="s">
        <v>364</v>
      </c>
      <c r="D62" s="130"/>
      <c r="E62" s="130"/>
      <c r="F62" s="130"/>
      <c r="G62" s="1181"/>
      <c r="H62" s="1181"/>
      <c r="I62" s="1313">
        <f>Personalkostenaufstellung!M380</f>
        <v>0</v>
      </c>
      <c r="J62" s="543"/>
      <c r="K62" s="132"/>
      <c r="L62" s="841" t="s">
        <v>479</v>
      </c>
      <c r="M62" s="799"/>
      <c r="N62" s="799"/>
      <c r="O62" s="799"/>
      <c r="P62" s="799"/>
      <c r="Q62" s="799"/>
      <c r="R62" s="799"/>
    </row>
    <row r="63" spans="1:18" s="28" customFormat="1" ht="13.5" customHeight="1" thickBot="1">
      <c r="A63" s="143"/>
      <c r="B63" s="144"/>
      <c r="C63" s="144"/>
      <c r="D63" s="145"/>
      <c r="E63" s="145"/>
      <c r="F63" s="145"/>
      <c r="G63" s="479"/>
      <c r="H63" s="1241" t="str">
        <f>IF(H62&lt;&gt;Personalkostenaufstellung!L380,"Stellenprognose entspricht nicht dem Stellenumfang in der Mappe Personalkostenaufstellung","")</f>
        <v/>
      </c>
      <c r="I63" s="381"/>
      <c r="J63" s="543"/>
      <c r="K63" s="146"/>
      <c r="L63" s="1041" t="s">
        <v>794</v>
      </c>
      <c r="M63" s="400"/>
      <c r="N63" s="400"/>
      <c r="O63" s="400"/>
      <c r="P63" s="400"/>
      <c r="Q63" s="400"/>
      <c r="R63" s="400"/>
    </row>
    <row r="64" spans="1:18" s="1" customFormat="1" ht="13.5" thickBot="1">
      <c r="A64" s="31"/>
      <c r="B64" s="33"/>
      <c r="C64" s="382" t="s">
        <v>366</v>
      </c>
      <c r="D64" s="33"/>
      <c r="E64" s="33"/>
      <c r="F64" s="33"/>
      <c r="G64" s="1181"/>
      <c r="H64" s="1181"/>
      <c r="I64" s="1313">
        <f>Personalkostenaufstellung!M381</f>
        <v>0</v>
      </c>
      <c r="J64" s="543"/>
      <c r="K64" s="132"/>
      <c r="L64" s="1135" t="s">
        <v>646</v>
      </c>
      <c r="M64" s="799"/>
      <c r="N64" s="799"/>
      <c r="O64" s="799"/>
      <c r="P64" s="799"/>
      <c r="Q64" s="799"/>
      <c r="R64" s="799"/>
    </row>
    <row r="65" spans="1:18" s="1" customFormat="1" ht="12.75" customHeight="1">
      <c r="A65" s="31"/>
      <c r="B65" s="33"/>
      <c r="C65" s="33"/>
      <c r="D65" s="33"/>
      <c r="E65" s="33"/>
      <c r="F65" s="33"/>
      <c r="G65" s="480"/>
      <c r="H65" s="1243" t="str">
        <f>IF(H64&lt;&gt;Personalkostenaufstellung!L381,"Stellenprognose entspricht nicht dem Stellenumfang in der Mappe Personalkostenaufstellung","")</f>
        <v/>
      </c>
      <c r="I65" s="480"/>
      <c r="J65" s="633"/>
      <c r="K65" s="132"/>
      <c r="L65" s="837"/>
      <c r="M65" s="799"/>
      <c r="N65" s="799"/>
      <c r="O65" s="799"/>
      <c r="P65" s="799"/>
      <c r="Q65" s="799"/>
      <c r="R65" s="799"/>
    </row>
    <row r="66" spans="1:18" s="1" customFormat="1" ht="12.75">
      <c r="A66" s="147"/>
      <c r="B66" s="58"/>
      <c r="C66" s="842"/>
      <c r="D66" s="58"/>
      <c r="E66" s="58"/>
      <c r="F66" s="58"/>
      <c r="G66" s="58"/>
      <c r="H66" s="148"/>
      <c r="I66" s="58"/>
      <c r="J66" s="58"/>
      <c r="K66" s="59"/>
      <c r="L66" s="829" t="s">
        <v>480</v>
      </c>
      <c r="M66" s="799"/>
      <c r="N66" s="799"/>
      <c r="O66" s="799"/>
      <c r="P66" s="799"/>
      <c r="Q66" s="799"/>
      <c r="R66" s="799"/>
    </row>
    <row r="67" spans="1:18" s="1" customFormat="1" ht="12.75">
      <c r="L67" s="829" t="s">
        <v>482</v>
      </c>
      <c r="M67" s="799"/>
      <c r="N67" s="799"/>
      <c r="O67" s="799"/>
      <c r="P67" s="799"/>
      <c r="Q67" s="799"/>
      <c r="R67" s="799"/>
    </row>
    <row r="68" spans="1:18" s="149" customFormat="1" ht="11.25">
      <c r="A68" s="149" t="s">
        <v>63</v>
      </c>
      <c r="B68" s="149" t="s">
        <v>64</v>
      </c>
      <c r="L68" s="1183" t="s">
        <v>750</v>
      </c>
      <c r="M68" s="838"/>
      <c r="N68" s="838"/>
      <c r="O68" s="838"/>
      <c r="P68" s="838"/>
      <c r="Q68" s="838"/>
      <c r="R68" s="838"/>
    </row>
    <row r="69" spans="1:18" s="149" customFormat="1" ht="11.25">
      <c r="B69" s="149" t="s">
        <v>65</v>
      </c>
      <c r="L69" s="839"/>
      <c r="M69" s="839"/>
      <c r="N69" s="838"/>
      <c r="O69" s="838"/>
      <c r="P69" s="838"/>
      <c r="Q69" s="838"/>
      <c r="R69" s="838"/>
    </row>
    <row r="70" spans="1:18" s="149" customFormat="1" ht="8.1" customHeight="1">
      <c r="L70" s="838"/>
      <c r="M70" s="838"/>
      <c r="N70" s="838"/>
      <c r="O70" s="838"/>
      <c r="P70" s="838"/>
      <c r="Q70" s="838"/>
      <c r="R70" s="838"/>
    </row>
    <row r="71" spans="1:18" s="149" customFormat="1" ht="8.1" customHeight="1" thickBot="1">
      <c r="L71" s="838"/>
      <c r="M71" s="838"/>
      <c r="N71" s="838"/>
      <c r="O71" s="838"/>
      <c r="P71" s="838"/>
      <c r="Q71" s="838"/>
      <c r="R71" s="838"/>
    </row>
    <row r="72" spans="1:18" ht="15" thickBot="1">
      <c r="C72" s="1349" t="s">
        <v>272</v>
      </c>
      <c r="D72" s="1350"/>
      <c r="E72" s="1350"/>
      <c r="F72" s="1350"/>
      <c r="G72" s="1350"/>
      <c r="H72" s="1350"/>
      <c r="I72" s="1351"/>
      <c r="L72" s="1015" t="s">
        <v>553</v>
      </c>
      <c r="M72" s="1015"/>
    </row>
  </sheetData>
  <sheetProtection algorithmName="SHA-512" hashValue="Xcn0WCsoDSPgx93Uy9nviXRyXvp5B5G47uBbEMKcfyLJo7P8YPt9sVwoqb1MZScQUO2kd09UaCsSaWLKuUnj4Q==" saltValue="Se7g30m472w3waKFxWufWQ==" spinCount="100000" sheet="1" objects="1" scenarios="1"/>
  <mergeCells count="4">
    <mergeCell ref="C72:I72"/>
    <mergeCell ref="A1:K1"/>
    <mergeCell ref="A2:K2"/>
    <mergeCell ref="A3:K3"/>
  </mergeCells>
  <conditionalFormatting sqref="G17">
    <cfRule type="expression" priority="26">
      <formula>$H$17=0</formula>
    </cfRule>
    <cfRule type="expression" dxfId="75" priority="27">
      <formula>$G$17=0</formula>
    </cfRule>
  </conditionalFormatting>
  <conditionalFormatting sqref="H17">
    <cfRule type="expression" dxfId="74" priority="25">
      <formula>$H$17=0</formula>
    </cfRule>
  </conditionalFormatting>
  <conditionalFormatting sqref="G26">
    <cfRule type="expression" dxfId="73" priority="24">
      <formula>$G$26=0</formula>
    </cfRule>
  </conditionalFormatting>
  <conditionalFormatting sqref="H26">
    <cfRule type="expression" dxfId="72" priority="23">
      <formula>$H$26=0</formula>
    </cfRule>
  </conditionalFormatting>
  <conditionalFormatting sqref="G34">
    <cfRule type="expression" dxfId="71" priority="22">
      <formula>$G$34=0</formula>
    </cfRule>
  </conditionalFormatting>
  <conditionalFormatting sqref="H34">
    <cfRule type="expression" dxfId="70" priority="21">
      <formula>$H$34=0</formula>
    </cfRule>
  </conditionalFormatting>
  <conditionalFormatting sqref="G39">
    <cfRule type="expression" dxfId="69" priority="20">
      <formula>$G$39=0</formula>
    </cfRule>
  </conditionalFormatting>
  <conditionalFormatting sqref="H39">
    <cfRule type="expression" dxfId="68" priority="19">
      <formula>$H$39=0</formula>
    </cfRule>
  </conditionalFormatting>
  <conditionalFormatting sqref="J47">
    <cfRule type="expression" dxfId="67" priority="18">
      <formula>$J$47=0</formula>
    </cfRule>
  </conditionalFormatting>
  <conditionalFormatting sqref="J55">
    <cfRule type="expression" dxfId="66" priority="17">
      <formula>$J$55=0</formula>
    </cfRule>
  </conditionalFormatting>
  <dataValidations count="6">
    <dataValidation allowBlank="1" showInputMessage="1" showErrorMessage="1" promptTitle="Präsenzkräfte" prompt="Eintragung nur bei Einrichtungen der 4. Generation" sqref="G15 I15 G24 G38"/>
    <dataValidation allowBlank="1" showInputMessage="1" showErrorMessage="1" promptTitle="Eingabe" prompt="Eintragung nur bei Einrichtungen der 4. Generation_x000a_mit drei Nachkommastellen" sqref="H15 H24 H38"/>
    <dataValidation errorStyle="information" allowBlank="1" showInputMessage="1" showErrorMessage="1" errorTitle="Unternehmerrisiko" promptTitle="Unternehmerrisiko" prompt="siehe allgemeine Hinweise" sqref="I59"/>
    <dataValidation allowBlank="1" showErrorMessage="1" promptTitle="Eingabe" sqref="H45"/>
    <dataValidation allowBlank="1" showInputMessage="1" promptTitle="Eingabe " prompt="mit 3 Nachkommastellen" sqref="G12:H14 G22:H23 G29:H29 G32:H33 G37:H37 G41:H41 G43:H43"/>
    <dataValidation type="whole" allowBlank="1" showInputMessage="1" showErrorMessage="1" promptTitle="Eingabe" prompt="ohne Nachkommastelle" sqref="G62:H62 G64:H64">
      <formula1>0</formula1>
      <formula2>20</formula2>
    </dataValidation>
  </dataValidations>
  <hyperlinks>
    <hyperlink ref="C72" location="'Anlage 1'!A1" display="Anlage 1"/>
    <hyperlink ref="C72:I72" location="Sachaufwendungen!Druckbereich" display="gehe weiter zu Sachaufwendungen"/>
  </hyperlinks>
  <pageMargins left="0.70866141732283472" right="0.70866141732283472" top="0.78740157480314965" bottom="0.78740157480314965" header="0.31496062992125984" footer="0.31496062992125984"/>
  <pageSetup paperSize="9" scale="79" orientation="portrait"/>
  <headerFooter>
    <oddHeader>&amp;C&amp;9Seite 3</oddHeader>
    <oddFooter>&amp;L&amp;8Version: 15.01.2020&amp;C&amp;8Verhandlungsunterlagen SGB XI&amp;R&amp;8PSK-Beschluss Nr. 3/2019 vom 19.09.2019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4D4E40E1-FF32-4BE2-B3CE-171EEB78CDC7}">
            <xm:f>'Allgemeine Angaben'!$D$6:$G$6="4. Generation"</xm:f>
            <x14:dxf>
              <fill>
                <patternFill>
                  <bgColor rgb="FFFFFF99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G24</xm:sqref>
        </x14:conditionalFormatting>
        <x14:conditionalFormatting xmlns:xm="http://schemas.microsoft.com/office/excel/2006/main">
          <x14:cfRule type="expression" priority="6" id="{88730EEC-D75D-4236-AFDB-68B55E31A9FB}">
            <xm:f>'Allgemeine Angaben'!$D$6:$G$6="4. Generation"</xm:f>
            <x14:dxf>
              <fill>
                <patternFill>
                  <bgColor rgb="FFFFFF99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H24</xm:sqref>
        </x14:conditionalFormatting>
        <x14:conditionalFormatting xmlns:xm="http://schemas.microsoft.com/office/excel/2006/main">
          <x14:cfRule type="expression" priority="5" id="{24814B64-DBA6-47C2-BE32-43800E5D7B9E}">
            <xm:f>'Allgemeine Angaben'!$D$6:$G$6="4. Generation"</xm:f>
            <x14:dxf>
              <fill>
                <patternFill>
                  <bgColor rgb="FFFFFF99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G38</xm:sqref>
        </x14:conditionalFormatting>
        <x14:conditionalFormatting xmlns:xm="http://schemas.microsoft.com/office/excel/2006/main">
          <x14:cfRule type="expression" priority="4" id="{06DE8BFD-E78A-4813-8F31-C582E533DBDC}">
            <xm:f>'Allgemeine Angaben'!$D$6:$G$6="4. Generation"</xm:f>
            <x14:dxf>
              <fill>
                <patternFill>
                  <bgColor rgb="FFFFFF99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H38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4">
    <pageSetUpPr fitToPage="1"/>
  </sheetPr>
  <dimension ref="A1:Z70"/>
  <sheetViews>
    <sheetView showGridLines="0" workbookViewId="0">
      <pane ySplit="4" topLeftCell="A5" activePane="bottomLeft" state="frozen"/>
      <selection pane="bottomLeft" activeCell="F22" sqref="F22:H22"/>
    </sheetView>
  </sheetViews>
  <sheetFormatPr baseColWidth="10" defaultRowHeight="14.25"/>
  <cols>
    <col min="1" max="1" width="3.625" style="4" customWidth="1"/>
    <col min="2" max="2" width="4.25" style="4" customWidth="1"/>
    <col min="3" max="3" width="3" style="4" customWidth="1"/>
    <col min="4" max="4" width="14.5" style="4" customWidth="1"/>
    <col min="5" max="5" width="2.625" style="4" customWidth="1"/>
    <col min="6" max="6" width="9.125" style="4" customWidth="1"/>
    <col min="7" max="7" width="3" style="75" customWidth="1"/>
    <col min="8" max="8" width="12.5" style="75" customWidth="1"/>
    <col min="9" max="9" width="2.625" style="4" customWidth="1"/>
    <col min="10" max="10" width="14.5" style="4" customWidth="1"/>
    <col min="11" max="11" width="2.625" style="4" customWidth="1"/>
    <col min="12" max="12" width="14.5" style="4" customWidth="1"/>
    <col min="13" max="13" width="5" style="75" customWidth="1"/>
    <col min="14" max="14" width="2.625" style="4" customWidth="1"/>
    <col min="15" max="15" width="4.625" style="4" customWidth="1"/>
    <col min="16" max="16" width="3.625" style="4" customWidth="1"/>
    <col min="17" max="26" width="11" style="389" hidden="1" customWidth="1"/>
    <col min="27" max="16384" width="11" style="4"/>
  </cols>
  <sheetData>
    <row r="1" spans="1:26" ht="15" customHeight="1">
      <c r="A1" s="1334" t="str">
        <f>'Allgemeine Angaben'!A1:N1</f>
        <v>Aufforderung zum Abschluss einer Pflegesatzvereinbarung gemäß §§ 84, 85 SGB XI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428"/>
      <c r="M1" s="1428"/>
      <c r="N1" s="1428"/>
      <c r="O1" s="1428"/>
      <c r="P1" s="1429"/>
      <c r="Q1" s="861">
        <v>43600</v>
      </c>
    </row>
    <row r="2" spans="1:26" ht="15" customHeight="1">
      <c r="A2" s="1337" t="s">
        <v>66</v>
      </c>
      <c r="B2" s="1338"/>
      <c r="C2" s="1338"/>
      <c r="D2" s="1338"/>
      <c r="E2" s="1338"/>
      <c r="F2" s="1338"/>
      <c r="G2" s="1338"/>
      <c r="H2" s="1338"/>
      <c r="I2" s="1338"/>
      <c r="J2" s="1338"/>
      <c r="K2" s="1338"/>
      <c r="L2" s="1430"/>
      <c r="M2" s="1430"/>
      <c r="N2" s="1430"/>
      <c r="O2" s="1430"/>
      <c r="P2" s="1431"/>
      <c r="Q2" s="1050">
        <v>43620</v>
      </c>
    </row>
    <row r="3" spans="1:26" ht="15" customHeight="1">
      <c r="A3" s="1363" t="str">
        <f>'Allgemeine Angaben'!A3:N3</f>
        <v/>
      </c>
      <c r="B3" s="1364"/>
      <c r="C3" s="1364"/>
      <c r="D3" s="1364"/>
      <c r="E3" s="1364"/>
      <c r="F3" s="1364"/>
      <c r="G3" s="1364"/>
      <c r="H3" s="1364"/>
      <c r="I3" s="1364"/>
      <c r="J3" s="1364"/>
      <c r="K3" s="1364"/>
      <c r="L3" s="1432"/>
      <c r="M3" s="1430"/>
      <c r="N3" s="1430"/>
      <c r="O3" s="1430"/>
      <c r="P3" s="1431"/>
    </row>
    <row r="4" spans="1:26" ht="15" customHeight="1">
      <c r="A4" s="1032"/>
      <c r="B4" s="1033" t="str">
        <f>'Allgemeine Angaben'!B4</f>
        <v/>
      </c>
      <c r="C4" s="1033"/>
      <c r="D4" s="1033"/>
      <c r="E4" s="1033"/>
      <c r="F4" s="1033"/>
      <c r="G4" s="1033"/>
      <c r="H4" s="1033"/>
      <c r="I4" s="1033"/>
      <c r="J4" s="1036" t="str">
        <f>'Allgemeine Angaben'!K4</f>
        <v>Antrag vom:</v>
      </c>
      <c r="K4" s="1033"/>
      <c r="L4" s="1047">
        <f>'Allgemeine Angaben'!L4:M4</f>
        <v>0</v>
      </c>
      <c r="M4" s="1033"/>
      <c r="N4" s="1033"/>
      <c r="O4" s="1033"/>
      <c r="P4" s="1034"/>
    </row>
    <row r="5" spans="1:26" s="11" customFormat="1" ht="14.25" customHeight="1">
      <c r="A5" s="151"/>
      <c r="B5" s="152"/>
      <c r="C5" s="152"/>
      <c r="D5" s="152"/>
      <c r="E5" s="152"/>
      <c r="F5" s="152"/>
      <c r="G5" s="153"/>
      <c r="H5" s="153"/>
      <c r="I5" s="152"/>
      <c r="J5" s="152"/>
      <c r="K5" s="152"/>
      <c r="L5" s="152"/>
      <c r="M5" s="153"/>
      <c r="N5" s="152"/>
      <c r="O5" s="152"/>
      <c r="P5" s="154"/>
      <c r="Q5" s="845"/>
      <c r="R5" s="846"/>
      <c r="S5" s="846"/>
      <c r="T5" s="846"/>
      <c r="U5" s="846"/>
      <c r="V5" s="846"/>
      <c r="W5" s="846"/>
      <c r="X5" s="846"/>
      <c r="Y5" s="846"/>
      <c r="Z5" s="846"/>
    </row>
    <row r="6" spans="1:26" ht="14.25" customHeight="1">
      <c r="A6" s="3"/>
      <c r="B6" s="9"/>
      <c r="C6" s="1423" t="s">
        <v>67</v>
      </c>
      <c r="D6" s="1433"/>
      <c r="E6" s="1434"/>
      <c r="F6" s="155"/>
      <c r="I6" s="1423" t="s">
        <v>68</v>
      </c>
      <c r="J6" s="1424"/>
      <c r="K6" s="1425"/>
      <c r="L6" s="9"/>
      <c r="M6" s="30"/>
      <c r="N6" s="9"/>
      <c r="O6" s="9"/>
      <c r="P6" s="5"/>
      <c r="Q6" s="1035" t="s">
        <v>586</v>
      </c>
    </row>
    <row r="7" spans="1:26" ht="3" customHeight="1">
      <c r="A7" s="3"/>
      <c r="B7" s="9"/>
      <c r="C7" s="9"/>
      <c r="D7" s="9"/>
      <c r="E7" s="9"/>
      <c r="F7" s="9"/>
      <c r="G7" s="30"/>
      <c r="J7" s="30"/>
      <c r="K7" s="9"/>
      <c r="L7" s="9"/>
      <c r="M7" s="30"/>
      <c r="N7" s="9"/>
      <c r="O7" s="9"/>
      <c r="P7" s="5"/>
      <c r="Q7" s="270"/>
    </row>
    <row r="8" spans="1:26" ht="12.75" customHeight="1">
      <c r="A8" s="3"/>
      <c r="B8" s="9"/>
      <c r="C8" s="9"/>
      <c r="D8" s="8" t="s">
        <v>69</v>
      </c>
      <c r="E8" s="108"/>
      <c r="F8" s="156"/>
      <c r="G8" s="157"/>
      <c r="I8" s="75"/>
      <c r="J8" s="8" t="s">
        <v>69</v>
      </c>
      <c r="K8" s="159"/>
      <c r="L8" s="155"/>
      <c r="M8" s="160"/>
      <c r="N8" s="9"/>
      <c r="O8" s="30"/>
      <c r="P8" s="5"/>
      <c r="Q8" s="270"/>
    </row>
    <row r="9" spans="1:26" s="165" customFormat="1" ht="3" customHeight="1">
      <c r="A9" s="3"/>
      <c r="B9" s="9"/>
      <c r="C9" s="9"/>
      <c r="D9" s="161"/>
      <c r="E9" s="108"/>
      <c r="F9" s="161"/>
      <c r="G9" s="30"/>
      <c r="J9" s="162"/>
      <c r="K9" s="163"/>
      <c r="L9" s="155"/>
      <c r="M9" s="67"/>
      <c r="N9" s="67"/>
      <c r="O9" s="67"/>
      <c r="P9" s="164"/>
      <c r="Q9" s="847"/>
      <c r="R9" s="806"/>
      <c r="S9" s="806"/>
      <c r="T9" s="806"/>
      <c r="U9" s="806"/>
      <c r="V9" s="806"/>
      <c r="W9" s="806"/>
      <c r="X9" s="806"/>
      <c r="Y9" s="806"/>
      <c r="Z9" s="806"/>
    </row>
    <row r="10" spans="1:26" s="64" customFormat="1" ht="14.25" customHeight="1">
      <c r="A10" s="3"/>
      <c r="B10" s="9"/>
      <c r="C10" s="9"/>
      <c r="D10" s="166"/>
      <c r="E10" s="1080" t="str">
        <f>B52</f>
        <v>3.1</v>
      </c>
      <c r="F10" s="1435" t="s">
        <v>56</v>
      </c>
      <c r="G10" s="1436"/>
      <c r="H10" s="1436"/>
      <c r="I10" s="167"/>
      <c r="J10" s="1426"/>
      <c r="K10" s="1427"/>
      <c r="L10" s="155"/>
      <c r="M10" s="67"/>
      <c r="N10" s="66"/>
      <c r="O10" s="66"/>
      <c r="P10" s="85"/>
      <c r="Q10" s="848"/>
      <c r="R10" s="806"/>
      <c r="S10" s="806"/>
      <c r="T10" s="806"/>
      <c r="U10" s="806"/>
      <c r="V10" s="806"/>
      <c r="W10" s="806"/>
      <c r="X10" s="806"/>
      <c r="Y10" s="806"/>
      <c r="Z10" s="806"/>
    </row>
    <row r="11" spans="1:26" s="165" customFormat="1" ht="3" customHeight="1">
      <c r="A11" s="3"/>
      <c r="B11" s="9"/>
      <c r="C11" s="9"/>
      <c r="D11" s="161"/>
      <c r="E11" s="108"/>
      <c r="F11" s="161"/>
      <c r="G11" s="30"/>
      <c r="J11" s="162"/>
      <c r="K11" s="163"/>
      <c r="L11" s="155"/>
      <c r="M11" s="67"/>
      <c r="N11" s="67"/>
      <c r="O11" s="67"/>
      <c r="P11" s="164"/>
      <c r="Q11" s="847"/>
      <c r="R11" s="806"/>
      <c r="S11" s="806"/>
      <c r="T11" s="806"/>
      <c r="U11" s="806"/>
      <c r="V11" s="806"/>
      <c r="W11" s="806"/>
      <c r="X11" s="806"/>
      <c r="Y11" s="806"/>
      <c r="Z11" s="806"/>
    </row>
    <row r="12" spans="1:26" s="64" customFormat="1" ht="14.25" customHeight="1">
      <c r="A12" s="3"/>
      <c r="B12" s="9"/>
      <c r="C12" s="9"/>
      <c r="D12" s="166"/>
      <c r="E12" s="1080" t="str">
        <f>B53</f>
        <v>3.2</v>
      </c>
      <c r="F12" s="1435" t="str">
        <f>C53</f>
        <v>Wäscherei</v>
      </c>
      <c r="G12" s="1436"/>
      <c r="H12" s="1436"/>
      <c r="I12" s="167"/>
      <c r="J12" s="1426"/>
      <c r="K12" s="1427"/>
      <c r="L12" s="155"/>
      <c r="M12" s="67"/>
      <c r="N12" s="66"/>
      <c r="O12" s="66"/>
      <c r="P12" s="85"/>
      <c r="Q12" s="847"/>
      <c r="R12" s="806"/>
      <c r="S12" s="806"/>
      <c r="T12" s="806"/>
      <c r="U12" s="806"/>
      <c r="V12" s="806"/>
      <c r="W12" s="806"/>
      <c r="X12" s="806"/>
      <c r="Y12" s="806"/>
      <c r="Z12" s="806"/>
    </row>
    <row r="13" spans="1:26" s="165" customFormat="1" ht="3" customHeight="1">
      <c r="A13" s="3"/>
      <c r="B13" s="9"/>
      <c r="C13" s="9"/>
      <c r="D13" s="161"/>
      <c r="E13" s="108"/>
      <c r="F13" s="161"/>
      <c r="G13" s="30"/>
      <c r="J13" s="162"/>
      <c r="K13" s="163"/>
      <c r="L13" s="155"/>
      <c r="M13" s="67"/>
      <c r="N13" s="67"/>
      <c r="O13" s="67"/>
      <c r="P13" s="164"/>
      <c r="Q13" s="847"/>
      <c r="R13" s="806"/>
      <c r="S13" s="806"/>
      <c r="T13" s="806"/>
      <c r="U13" s="806"/>
      <c r="V13" s="806"/>
      <c r="W13" s="806"/>
      <c r="X13" s="806"/>
      <c r="Y13" s="806"/>
      <c r="Z13" s="806"/>
    </row>
    <row r="14" spans="1:26" s="64" customFormat="1" ht="14.25" customHeight="1">
      <c r="A14" s="3"/>
      <c r="B14" s="9"/>
      <c r="C14" s="9"/>
      <c r="D14" s="166"/>
      <c r="E14" s="1080" t="str">
        <f>B54</f>
        <v>3.3</v>
      </c>
      <c r="F14" s="1435" t="str">
        <f>C54</f>
        <v>Wäschekennzeichnung</v>
      </c>
      <c r="G14" s="1436"/>
      <c r="H14" s="1436"/>
      <c r="I14" s="167"/>
      <c r="J14" s="1426"/>
      <c r="K14" s="1427"/>
      <c r="L14" s="155"/>
      <c r="M14" s="67"/>
      <c r="N14" s="66"/>
      <c r="O14" s="66"/>
      <c r="P14" s="85"/>
      <c r="Q14" s="1081" t="s">
        <v>611</v>
      </c>
      <c r="R14" s="806"/>
      <c r="S14" s="806"/>
      <c r="T14" s="806"/>
      <c r="U14" s="806"/>
      <c r="V14" s="806"/>
      <c r="W14" s="806"/>
      <c r="X14" s="806"/>
      <c r="Y14" s="806"/>
      <c r="Z14" s="806"/>
    </row>
    <row r="15" spans="1:26" s="165" customFormat="1" ht="3" customHeight="1">
      <c r="A15" s="3"/>
      <c r="B15" s="9"/>
      <c r="C15" s="9"/>
      <c r="D15" s="161"/>
      <c r="E15" s="108"/>
      <c r="F15" s="161"/>
      <c r="G15" s="30"/>
      <c r="J15" s="162"/>
      <c r="K15" s="163"/>
      <c r="L15" s="155"/>
      <c r="M15" s="67"/>
      <c r="N15" s="67"/>
      <c r="O15" s="67"/>
      <c r="P15" s="164"/>
      <c r="Q15" s="847"/>
      <c r="R15" s="806"/>
      <c r="S15" s="806"/>
      <c r="T15" s="806"/>
      <c r="U15" s="806"/>
      <c r="V15" s="806"/>
      <c r="W15" s="806"/>
      <c r="X15" s="806"/>
      <c r="Y15" s="806"/>
      <c r="Z15" s="806"/>
    </row>
    <row r="16" spans="1:26" s="64" customFormat="1" ht="14.25" customHeight="1">
      <c r="A16" s="3"/>
      <c r="B16" s="9"/>
      <c r="C16" s="9"/>
      <c r="D16" s="166"/>
      <c r="E16" s="1080" t="str">
        <f>B55</f>
        <v>3.4</v>
      </c>
      <c r="F16" s="1435" t="str">
        <f>C55</f>
        <v>Reinigung</v>
      </c>
      <c r="G16" s="1436"/>
      <c r="H16" s="1436"/>
      <c r="I16" s="167"/>
      <c r="J16" s="1426"/>
      <c r="K16" s="1427"/>
      <c r="L16" s="155"/>
      <c r="M16" s="67"/>
      <c r="N16" s="66"/>
      <c r="O16" s="66"/>
      <c r="P16" s="85"/>
      <c r="Q16" s="1081" t="s">
        <v>612</v>
      </c>
      <c r="R16" s="806"/>
      <c r="S16" s="806"/>
      <c r="T16" s="806"/>
      <c r="U16" s="806"/>
      <c r="V16" s="806"/>
      <c r="W16" s="806"/>
      <c r="X16" s="806"/>
      <c r="Y16" s="806"/>
      <c r="Z16" s="806"/>
    </row>
    <row r="17" spans="1:26" s="165" customFormat="1" ht="3" customHeight="1">
      <c r="A17" s="3"/>
      <c r="B17" s="9"/>
      <c r="C17" s="9"/>
      <c r="D17" s="161"/>
      <c r="E17" s="108"/>
      <c r="F17" s="161"/>
      <c r="G17" s="30"/>
      <c r="J17" s="162"/>
      <c r="K17" s="163"/>
      <c r="L17" s="155"/>
      <c r="M17" s="67"/>
      <c r="N17" s="67"/>
      <c r="O17" s="67"/>
      <c r="P17" s="164"/>
      <c r="Q17" s="847"/>
      <c r="R17" s="806"/>
      <c r="S17" s="806"/>
      <c r="T17" s="806"/>
      <c r="U17" s="806"/>
      <c r="V17" s="806"/>
      <c r="W17" s="806"/>
      <c r="X17" s="806"/>
      <c r="Y17" s="806"/>
      <c r="Z17" s="806"/>
    </row>
    <row r="18" spans="1:26" s="64" customFormat="1" ht="14.25" customHeight="1">
      <c r="A18" s="3"/>
      <c r="B18" s="9"/>
      <c r="C18" s="9"/>
      <c r="D18" s="166"/>
      <c r="E18" s="1080" t="str">
        <f>B56</f>
        <v>3.5</v>
      </c>
      <c r="F18" s="1435" t="str">
        <f>C56</f>
        <v>Verwaltung</v>
      </c>
      <c r="G18" s="1436"/>
      <c r="H18" s="1436"/>
      <c r="I18" s="167"/>
      <c r="J18" s="1426"/>
      <c r="K18" s="1427"/>
      <c r="L18" s="155"/>
      <c r="M18" s="67"/>
      <c r="N18" s="66"/>
      <c r="O18" s="66"/>
      <c r="P18" s="85"/>
      <c r="Q18" s="847"/>
      <c r="R18" s="806"/>
      <c r="S18" s="806"/>
      <c r="T18" s="806"/>
      <c r="U18" s="806"/>
      <c r="V18" s="806"/>
      <c r="W18" s="806"/>
      <c r="X18" s="806"/>
      <c r="Y18" s="806"/>
      <c r="Z18" s="806"/>
    </row>
    <row r="19" spans="1:26" s="165" customFormat="1" ht="3" customHeight="1">
      <c r="A19" s="3"/>
      <c r="B19" s="9"/>
      <c r="C19" s="9"/>
      <c r="D19" s="161"/>
      <c r="E19" s="108"/>
      <c r="F19" s="161"/>
      <c r="G19" s="30"/>
      <c r="J19" s="162"/>
      <c r="K19" s="163"/>
      <c r="L19" s="155"/>
      <c r="M19" s="67"/>
      <c r="N19" s="67"/>
      <c r="O19" s="67"/>
      <c r="P19" s="164"/>
      <c r="Q19" s="847"/>
      <c r="R19" s="806"/>
      <c r="S19" s="806"/>
      <c r="T19" s="806"/>
      <c r="U19" s="806"/>
      <c r="V19" s="806"/>
      <c r="W19" s="806"/>
      <c r="X19" s="806"/>
      <c r="Y19" s="806"/>
      <c r="Z19" s="806"/>
    </row>
    <row r="20" spans="1:26" s="70" customFormat="1" ht="13.5" customHeight="1">
      <c r="A20" s="3"/>
      <c r="B20" s="9"/>
      <c r="C20" s="9"/>
      <c r="D20" s="166"/>
      <c r="E20" s="1080" t="str">
        <f>B57</f>
        <v>3.6</v>
      </c>
      <c r="F20" s="1435" t="str">
        <f>C57</f>
        <v>Haustechnik</v>
      </c>
      <c r="G20" s="1436"/>
      <c r="H20" s="1436"/>
      <c r="I20" s="167"/>
      <c r="J20" s="1426"/>
      <c r="K20" s="1427"/>
      <c r="L20" s="155"/>
      <c r="M20" s="168"/>
      <c r="N20" s="65"/>
      <c r="O20" s="65"/>
      <c r="P20" s="68"/>
      <c r="Q20" s="849"/>
      <c r="R20" s="801"/>
      <c r="S20" s="801"/>
      <c r="T20" s="801"/>
      <c r="U20" s="801"/>
      <c r="V20" s="801"/>
      <c r="W20" s="801"/>
      <c r="X20" s="801"/>
      <c r="Y20" s="801"/>
      <c r="Z20" s="801"/>
    </row>
    <row r="21" spans="1:26" s="165" customFormat="1" ht="3" customHeight="1">
      <c r="A21" s="3"/>
      <c r="B21" s="9"/>
      <c r="C21" s="9"/>
      <c r="D21" s="161"/>
      <c r="E21" s="108"/>
      <c r="F21" s="161"/>
      <c r="G21" s="30"/>
      <c r="J21" s="162"/>
      <c r="K21" s="163"/>
      <c r="L21" s="155"/>
      <c r="M21" s="67"/>
      <c r="N21" s="67"/>
      <c r="O21" s="67"/>
      <c r="P21" s="164"/>
      <c r="Q21" s="847"/>
      <c r="R21" s="806"/>
      <c r="S21" s="806"/>
      <c r="T21" s="806"/>
      <c r="U21" s="806"/>
      <c r="V21" s="806"/>
      <c r="W21" s="806"/>
      <c r="X21" s="806"/>
      <c r="Y21" s="806"/>
      <c r="Z21" s="806"/>
    </row>
    <row r="22" spans="1:26" s="70" customFormat="1" ht="14.25" customHeight="1">
      <c r="A22" s="3"/>
      <c r="B22" s="9"/>
      <c r="C22" s="9"/>
      <c r="D22" s="166"/>
      <c r="E22" s="1080" t="str">
        <f>B58</f>
        <v>3.7</v>
      </c>
      <c r="F22" s="1444"/>
      <c r="G22" s="1445"/>
      <c r="H22" s="1445"/>
      <c r="I22" s="167"/>
      <c r="J22" s="1426"/>
      <c r="K22" s="1427"/>
      <c r="L22" s="155"/>
      <c r="M22" s="168"/>
      <c r="N22" s="65"/>
      <c r="O22" s="65"/>
      <c r="P22" s="68"/>
      <c r="Q22" s="850"/>
      <c r="R22" s="801"/>
      <c r="S22" s="801"/>
      <c r="T22" s="801"/>
      <c r="U22" s="801"/>
      <c r="V22" s="801"/>
      <c r="W22" s="801"/>
      <c r="X22" s="801"/>
      <c r="Y22" s="801"/>
      <c r="Z22" s="801"/>
    </row>
    <row r="23" spans="1:26" ht="3" customHeight="1">
      <c r="A23" s="3"/>
      <c r="B23" s="9"/>
      <c r="C23" s="9"/>
      <c r="D23" s="9"/>
      <c r="E23" s="108"/>
      <c r="F23" s="9"/>
      <c r="G23" s="30"/>
      <c r="H23" s="30"/>
      <c r="I23" s="163"/>
      <c r="J23" s="163"/>
      <c r="K23" s="163"/>
      <c r="L23" s="9"/>
      <c r="M23" s="30"/>
      <c r="N23" s="9"/>
      <c r="O23" s="9"/>
      <c r="P23" s="5"/>
      <c r="Q23" s="270"/>
    </row>
    <row r="24" spans="1:26" ht="14.25" customHeight="1">
      <c r="A24" s="3"/>
      <c r="B24" s="9"/>
      <c r="C24" s="9"/>
      <c r="D24" s="166"/>
      <c r="E24" s="1080" t="str">
        <f>B59</f>
        <v>3.8</v>
      </c>
      <c r="F24" s="1444"/>
      <c r="G24" s="1445"/>
      <c r="H24" s="1445"/>
      <c r="I24" s="167"/>
      <c r="J24" s="1426"/>
      <c r="K24" s="1427"/>
      <c r="L24" s="9"/>
      <c r="M24" s="30"/>
      <c r="N24" s="9"/>
      <c r="O24" s="9"/>
      <c r="P24" s="5"/>
      <c r="Q24" s="270"/>
    </row>
    <row r="25" spans="1:26" ht="14.25" customHeight="1">
      <c r="A25" s="3"/>
      <c r="B25" s="9"/>
      <c r="C25" s="9"/>
      <c r="D25" s="9"/>
      <c r="E25" s="108"/>
      <c r="F25" s="9"/>
      <c r="G25" s="30"/>
      <c r="H25" s="30"/>
      <c r="I25" s="9"/>
      <c r="J25" s="9"/>
      <c r="K25" s="9"/>
      <c r="L25" s="9"/>
      <c r="M25" s="30"/>
      <c r="N25" s="9"/>
      <c r="O25" s="9"/>
      <c r="P25" s="5"/>
      <c r="Q25" s="270"/>
    </row>
    <row r="26" spans="1:26" ht="15" customHeight="1">
      <c r="A26" s="169"/>
      <c r="B26" s="170" t="s">
        <v>227</v>
      </c>
      <c r="C26" s="167"/>
      <c r="D26" s="167"/>
      <c r="E26" s="167"/>
      <c r="F26" s="167"/>
      <c r="G26" s="171"/>
      <c r="H26" s="171"/>
      <c r="I26" s="167"/>
      <c r="J26" s="167"/>
      <c r="K26" s="167"/>
      <c r="L26" s="171"/>
      <c r="M26" s="167"/>
      <c r="N26" s="167"/>
      <c r="O26" s="167"/>
      <c r="P26" s="5"/>
      <c r="Q26" s="270"/>
    </row>
    <row r="27" spans="1:26" ht="4.5" customHeight="1">
      <c r="A27" s="3"/>
      <c r="B27" s="9"/>
      <c r="C27" s="9"/>
      <c r="D27" s="9"/>
      <c r="E27" s="9"/>
      <c r="F27" s="9"/>
      <c r="G27" s="30"/>
      <c r="H27" s="30"/>
      <c r="I27" s="9"/>
      <c r="J27" s="9"/>
      <c r="K27" s="9"/>
      <c r="L27" s="9"/>
      <c r="M27" s="30"/>
      <c r="N27" s="9"/>
      <c r="O27" s="72"/>
      <c r="P27" s="5"/>
      <c r="Q27" s="270"/>
    </row>
    <row r="28" spans="1:26" ht="14.25" customHeight="1">
      <c r="A28" s="172"/>
      <c r="B28" s="9"/>
      <c r="C28" s="9"/>
      <c r="D28" s="9"/>
      <c r="E28" s="9"/>
      <c r="F28" s="9"/>
      <c r="G28" s="1446" t="s">
        <v>73</v>
      </c>
      <c r="H28" s="1447"/>
      <c r="I28" s="9"/>
      <c r="J28" s="173"/>
      <c r="K28" s="9"/>
      <c r="L28" s="624"/>
      <c r="M28" s="1448" t="s">
        <v>74</v>
      </c>
      <c r="N28" s="9"/>
      <c r="O28" s="1437" t="s">
        <v>75</v>
      </c>
      <c r="P28" s="5"/>
      <c r="Q28" s="851"/>
    </row>
    <row r="29" spans="1:26" ht="14.25" customHeight="1">
      <c r="A29" s="172"/>
      <c r="B29" s="9"/>
      <c r="C29" s="9"/>
      <c r="D29" s="9"/>
      <c r="E29" s="9"/>
      <c r="F29" s="9"/>
      <c r="G29" s="1440" t="s">
        <v>76</v>
      </c>
      <c r="H29" s="1441"/>
      <c r="I29" s="9"/>
      <c r="J29" s="174" t="s">
        <v>77</v>
      </c>
      <c r="K29" s="9"/>
      <c r="L29" s="622" t="s">
        <v>77</v>
      </c>
      <c r="M29" s="1449"/>
      <c r="N29" s="9"/>
      <c r="O29" s="1438"/>
      <c r="P29" s="5"/>
      <c r="Q29" s="851"/>
    </row>
    <row r="30" spans="1:26" ht="32.25" customHeight="1">
      <c r="A30" s="3"/>
      <c r="B30" s="9"/>
      <c r="C30" s="9"/>
      <c r="D30" s="9"/>
      <c r="E30" s="9"/>
      <c r="F30" s="9"/>
      <c r="G30" s="1440" t="s">
        <v>78</v>
      </c>
      <c r="H30" s="1441"/>
      <c r="I30" s="9"/>
      <c r="J30" s="175"/>
      <c r="K30" s="9"/>
      <c r="L30" s="1082" t="s">
        <v>596</v>
      </c>
      <c r="M30" s="1449"/>
      <c r="N30" s="9"/>
      <c r="O30" s="1438"/>
      <c r="P30" s="5"/>
      <c r="Q30" s="1051" t="s">
        <v>597</v>
      </c>
    </row>
    <row r="31" spans="1:26" ht="14.25" customHeight="1">
      <c r="A31" s="3"/>
      <c r="B31" s="9"/>
      <c r="C31" s="9"/>
      <c r="D31" s="9"/>
      <c r="E31" s="9"/>
      <c r="F31" s="9"/>
      <c r="G31" s="1442" t="s">
        <v>79</v>
      </c>
      <c r="H31" s="1443"/>
      <c r="I31" s="9"/>
      <c r="J31" s="176" t="s">
        <v>79</v>
      </c>
      <c r="K31" s="9"/>
      <c r="L31" s="623" t="s">
        <v>79</v>
      </c>
      <c r="M31" s="1450"/>
      <c r="N31" s="9"/>
      <c r="O31" s="1439"/>
      <c r="P31" s="5"/>
      <c r="Q31" s="270"/>
    </row>
    <row r="32" spans="1:26" ht="3" customHeight="1">
      <c r="A32" s="3"/>
      <c r="B32" s="9"/>
      <c r="C32" s="9"/>
      <c r="D32" s="9"/>
      <c r="E32" s="9"/>
      <c r="F32" s="9"/>
      <c r="G32" s="177"/>
      <c r="H32" s="177"/>
      <c r="I32" s="9"/>
      <c r="J32" s="178"/>
      <c r="K32" s="9"/>
      <c r="L32" s="178"/>
      <c r="M32" s="30"/>
      <c r="N32" s="9"/>
      <c r="O32" s="179"/>
      <c r="P32" s="5"/>
      <c r="Q32" s="270"/>
    </row>
    <row r="33" spans="1:26" s="70" customFormat="1" ht="14.25" customHeight="1">
      <c r="A33" s="63"/>
      <c r="B33" s="180" t="s">
        <v>80</v>
      </c>
      <c r="C33" s="1451" t="s">
        <v>81</v>
      </c>
      <c r="D33" s="1452"/>
      <c r="E33" s="1452"/>
      <c r="F33" s="1453"/>
      <c r="G33" s="1454"/>
      <c r="H33" s="1455"/>
      <c r="I33" s="181"/>
      <c r="J33" s="603"/>
      <c r="K33" s="181"/>
      <c r="L33" s="635">
        <f>IFERROR(J33*(1+J63),"")</f>
        <v>0</v>
      </c>
      <c r="M33" s="182" t="str">
        <f t="shared" ref="M33:M43" si="0">IFERROR(L33/divisor,"")</f>
        <v/>
      </c>
      <c r="N33" s="183"/>
      <c r="O33" s="184"/>
      <c r="P33" s="68"/>
      <c r="Q33" s="852"/>
      <c r="R33" s="801"/>
      <c r="S33" s="801"/>
      <c r="T33" s="801"/>
      <c r="U33" s="801"/>
      <c r="V33" s="801"/>
      <c r="W33" s="801"/>
      <c r="X33" s="801"/>
      <c r="Y33" s="801"/>
      <c r="Z33" s="801"/>
    </row>
    <row r="34" spans="1:26" s="70" customFormat="1" ht="14.25" customHeight="1">
      <c r="A34" s="63"/>
      <c r="B34" s="180" t="s">
        <v>82</v>
      </c>
      <c r="C34" s="1451" t="s">
        <v>83</v>
      </c>
      <c r="D34" s="1452"/>
      <c r="E34" s="1452"/>
      <c r="F34" s="1453"/>
      <c r="G34" s="1454"/>
      <c r="H34" s="1455"/>
      <c r="I34" s="181"/>
      <c r="J34" s="603"/>
      <c r="K34" s="181"/>
      <c r="L34" s="635">
        <f>IFERROR(J34*(1+J63),"")</f>
        <v>0</v>
      </c>
      <c r="M34" s="182" t="str">
        <f t="shared" si="0"/>
        <v/>
      </c>
      <c r="N34" s="183"/>
      <c r="O34" s="185"/>
      <c r="P34" s="68"/>
      <c r="Q34" s="852"/>
      <c r="R34" s="801"/>
      <c r="S34" s="801"/>
      <c r="T34" s="801"/>
      <c r="U34" s="801"/>
      <c r="V34" s="801"/>
      <c r="W34" s="801"/>
      <c r="X34" s="801"/>
      <c r="Y34" s="801"/>
      <c r="Z34" s="801"/>
    </row>
    <row r="35" spans="1:26" s="70" customFormat="1" ht="14.25" customHeight="1">
      <c r="A35" s="63"/>
      <c r="B35" s="186" t="s">
        <v>84</v>
      </c>
      <c r="C35" s="1456" t="s">
        <v>85</v>
      </c>
      <c r="D35" s="1457"/>
      <c r="E35" s="1457"/>
      <c r="F35" s="1458"/>
      <c r="G35" s="1459"/>
      <c r="H35" s="1460"/>
      <c r="I35" s="187"/>
      <c r="J35" s="188"/>
      <c r="K35" s="187"/>
      <c r="L35" s="635">
        <f>IFERROR(J35*(1+J63),"")</f>
        <v>0</v>
      </c>
      <c r="M35" s="182" t="str">
        <f t="shared" si="0"/>
        <v/>
      </c>
      <c r="N35" s="189"/>
      <c r="O35" s="190"/>
      <c r="P35" s="68"/>
      <c r="Q35" s="848"/>
      <c r="R35" s="801"/>
      <c r="S35" s="801"/>
      <c r="T35" s="801"/>
      <c r="U35" s="801"/>
      <c r="V35" s="801"/>
      <c r="W35" s="801"/>
      <c r="X35" s="801"/>
      <c r="Y35" s="801"/>
      <c r="Z35" s="801"/>
    </row>
    <row r="36" spans="1:26" s="70" customFormat="1" ht="14.25" customHeight="1">
      <c r="A36" s="63"/>
      <c r="B36" s="180" t="s">
        <v>86</v>
      </c>
      <c r="C36" s="1451" t="s">
        <v>87</v>
      </c>
      <c r="D36" s="1452"/>
      <c r="E36" s="1452"/>
      <c r="F36" s="1453"/>
      <c r="G36" s="1454"/>
      <c r="H36" s="1455"/>
      <c r="I36" s="181"/>
      <c r="J36" s="603"/>
      <c r="K36" s="181"/>
      <c r="L36" s="635">
        <f>IFERROR(J36*(1+J63),"")</f>
        <v>0</v>
      </c>
      <c r="M36" s="182" t="str">
        <f t="shared" si="0"/>
        <v/>
      </c>
      <c r="N36" s="183"/>
      <c r="O36" s="185"/>
      <c r="P36" s="68"/>
      <c r="Q36" s="853"/>
      <c r="R36" s="801"/>
      <c r="S36" s="801"/>
      <c r="T36" s="801"/>
      <c r="U36" s="801"/>
      <c r="V36" s="801"/>
      <c r="W36" s="801"/>
      <c r="X36" s="801"/>
      <c r="Y36" s="801"/>
      <c r="Z36" s="801"/>
    </row>
    <row r="37" spans="1:26" s="70" customFormat="1" ht="14.25" customHeight="1">
      <c r="A37" s="63"/>
      <c r="B37" s="180" t="s">
        <v>88</v>
      </c>
      <c r="C37" s="1451" t="s">
        <v>89</v>
      </c>
      <c r="D37" s="1452"/>
      <c r="E37" s="1452"/>
      <c r="F37" s="1453"/>
      <c r="G37" s="1454"/>
      <c r="H37" s="1455"/>
      <c r="I37" s="181"/>
      <c r="J37" s="603"/>
      <c r="K37" s="181"/>
      <c r="L37" s="635">
        <f>IFERROR(J37*(1+J63),"")</f>
        <v>0</v>
      </c>
      <c r="M37" s="182" t="str">
        <f t="shared" si="0"/>
        <v/>
      </c>
      <c r="N37" s="183"/>
      <c r="O37" s="185"/>
      <c r="P37" s="68"/>
      <c r="Q37" s="853"/>
      <c r="R37" s="801"/>
      <c r="S37" s="801"/>
      <c r="T37" s="801"/>
      <c r="U37" s="801"/>
      <c r="V37" s="801"/>
      <c r="W37" s="801"/>
      <c r="X37" s="801"/>
      <c r="Y37" s="801"/>
      <c r="Z37" s="801"/>
    </row>
    <row r="38" spans="1:26" s="70" customFormat="1" ht="14.25" customHeight="1">
      <c r="A38" s="63"/>
      <c r="B38" s="180" t="s">
        <v>90</v>
      </c>
      <c r="C38" s="1451" t="s">
        <v>91</v>
      </c>
      <c r="D38" s="1452"/>
      <c r="E38" s="1452"/>
      <c r="F38" s="1453"/>
      <c r="G38" s="1454"/>
      <c r="H38" s="1455"/>
      <c r="I38" s="181"/>
      <c r="J38" s="603"/>
      <c r="K38" s="181"/>
      <c r="L38" s="635">
        <f>IFERROR(J38*(1+J63),"")</f>
        <v>0</v>
      </c>
      <c r="M38" s="182" t="str">
        <f t="shared" si="0"/>
        <v/>
      </c>
      <c r="N38" s="183"/>
      <c r="O38" s="185"/>
      <c r="P38" s="68"/>
      <c r="Q38" s="853"/>
      <c r="R38" s="801"/>
      <c r="S38" s="801"/>
      <c r="T38" s="801"/>
      <c r="U38" s="801"/>
      <c r="V38" s="801"/>
      <c r="W38" s="801"/>
      <c r="X38" s="801"/>
      <c r="Y38" s="801"/>
      <c r="Z38" s="801"/>
    </row>
    <row r="39" spans="1:26" s="70" customFormat="1" ht="14.25" customHeight="1">
      <c r="A39" s="63"/>
      <c r="B39" s="180" t="s">
        <v>92</v>
      </c>
      <c r="C39" s="1451" t="s">
        <v>93</v>
      </c>
      <c r="D39" s="1452"/>
      <c r="E39" s="1452"/>
      <c r="F39" s="1453"/>
      <c r="G39" s="1454"/>
      <c r="H39" s="1455"/>
      <c r="I39" s="181"/>
      <c r="J39" s="603"/>
      <c r="K39" s="181"/>
      <c r="L39" s="635">
        <f>IFERROR(J39*(1+J63),"")</f>
        <v>0</v>
      </c>
      <c r="M39" s="182" t="str">
        <f t="shared" si="0"/>
        <v/>
      </c>
      <c r="N39" s="183"/>
      <c r="O39" s="185"/>
      <c r="P39" s="68"/>
      <c r="Q39" s="850"/>
      <c r="R39" s="801"/>
      <c r="S39" s="801"/>
      <c r="T39" s="801"/>
      <c r="U39" s="801"/>
      <c r="V39" s="801"/>
      <c r="W39" s="801"/>
      <c r="X39" s="801"/>
      <c r="Y39" s="801"/>
      <c r="Z39" s="801"/>
    </row>
    <row r="40" spans="1:26" s="70" customFormat="1" ht="14.25" customHeight="1">
      <c r="A40" s="63"/>
      <c r="B40" s="180" t="s">
        <v>94</v>
      </c>
      <c r="C40" s="1451" t="s">
        <v>95</v>
      </c>
      <c r="D40" s="1452"/>
      <c r="E40" s="1452"/>
      <c r="F40" s="1453"/>
      <c r="G40" s="1454"/>
      <c r="H40" s="1455"/>
      <c r="I40" s="181"/>
      <c r="J40" s="603"/>
      <c r="K40" s="181"/>
      <c r="L40" s="635">
        <f>IFERROR(J40*(1+J63),"")</f>
        <v>0</v>
      </c>
      <c r="M40" s="182" t="str">
        <f t="shared" si="0"/>
        <v/>
      </c>
      <c r="N40" s="183"/>
      <c r="O40" s="185"/>
      <c r="P40" s="68"/>
      <c r="Q40" s="853"/>
      <c r="R40" s="801"/>
      <c r="S40" s="801"/>
      <c r="T40" s="801"/>
      <c r="U40" s="801"/>
      <c r="V40" s="801"/>
      <c r="W40" s="801"/>
      <c r="X40" s="801"/>
      <c r="Y40" s="801"/>
      <c r="Z40" s="801"/>
    </row>
    <row r="41" spans="1:26" s="70" customFormat="1" ht="14.25" customHeight="1">
      <c r="A41" s="63"/>
      <c r="B41" s="180" t="s">
        <v>96</v>
      </c>
      <c r="C41" s="1451" t="s">
        <v>97</v>
      </c>
      <c r="D41" s="1452"/>
      <c r="E41" s="1452"/>
      <c r="F41" s="1453"/>
      <c r="G41" s="1454"/>
      <c r="H41" s="1455"/>
      <c r="I41" s="181"/>
      <c r="J41" s="603"/>
      <c r="K41" s="181"/>
      <c r="L41" s="635">
        <f>IFERROR(J41*(1+J63),"")</f>
        <v>0</v>
      </c>
      <c r="M41" s="182" t="str">
        <f t="shared" si="0"/>
        <v/>
      </c>
      <c r="N41" s="183"/>
      <c r="O41" s="185"/>
      <c r="P41" s="191"/>
      <c r="Q41" s="853"/>
      <c r="R41" s="801"/>
      <c r="S41" s="801"/>
      <c r="T41" s="801"/>
      <c r="U41" s="801"/>
      <c r="V41" s="801"/>
      <c r="W41" s="801"/>
      <c r="X41" s="801"/>
      <c r="Y41" s="801"/>
      <c r="Z41" s="801"/>
    </row>
    <row r="42" spans="1:26" s="70" customFormat="1" ht="14.25" customHeight="1">
      <c r="A42" s="63"/>
      <c r="B42" s="180" t="s">
        <v>98</v>
      </c>
      <c r="C42" s="1451" t="s">
        <v>99</v>
      </c>
      <c r="D42" s="1452"/>
      <c r="E42" s="1452"/>
      <c r="F42" s="1453"/>
      <c r="G42" s="1454"/>
      <c r="H42" s="1455"/>
      <c r="I42" s="181"/>
      <c r="J42" s="603"/>
      <c r="K42" s="181"/>
      <c r="L42" s="635">
        <f>IFERROR(J42*(1+J63),"")</f>
        <v>0</v>
      </c>
      <c r="M42" s="182" t="str">
        <f t="shared" si="0"/>
        <v/>
      </c>
      <c r="N42" s="183"/>
      <c r="O42" s="185"/>
      <c r="P42" s="68"/>
      <c r="Q42" s="853"/>
      <c r="R42" s="801"/>
      <c r="S42" s="801"/>
      <c r="T42" s="801"/>
      <c r="U42" s="801"/>
      <c r="V42" s="801"/>
      <c r="W42" s="801"/>
      <c r="X42" s="801"/>
      <c r="Y42" s="801"/>
      <c r="Z42" s="801"/>
    </row>
    <row r="43" spans="1:26" s="70" customFormat="1" ht="15" customHeight="1" thickBot="1">
      <c r="A43" s="63"/>
      <c r="B43" s="192"/>
      <c r="C43" s="1461" t="s">
        <v>100</v>
      </c>
      <c r="D43" s="1462"/>
      <c r="E43" s="1462"/>
      <c r="F43" s="1463"/>
      <c r="G43" s="1464">
        <f>SUM(G33:H35,G36:H40,G41:H42)</f>
        <v>0</v>
      </c>
      <c r="H43" s="1465"/>
      <c r="I43" s="181"/>
      <c r="J43" s="604">
        <f>SUM(J33:J35,J36:J40,J41:J42)</f>
        <v>0</v>
      </c>
      <c r="K43" s="181"/>
      <c r="L43" s="636">
        <f>SUM(L33:L35,L36:L40,L41:L42)</f>
        <v>0</v>
      </c>
      <c r="M43" s="193" t="str">
        <f t="shared" si="0"/>
        <v/>
      </c>
      <c r="N43" s="194"/>
      <c r="O43" s="195"/>
      <c r="P43" s="68"/>
      <c r="Q43" s="853"/>
      <c r="R43" s="801"/>
      <c r="S43" s="801"/>
      <c r="T43" s="801"/>
      <c r="U43" s="801"/>
      <c r="V43" s="801"/>
      <c r="W43" s="801"/>
      <c r="X43" s="801"/>
      <c r="Y43" s="801"/>
      <c r="Z43" s="801"/>
    </row>
    <row r="44" spans="1:26" ht="14.25" customHeight="1" thickTop="1">
      <c r="A44" s="3"/>
      <c r="B44" s="9"/>
      <c r="C44" s="9"/>
      <c r="D44" s="9"/>
      <c r="E44" s="9"/>
      <c r="F44" s="9"/>
      <c r="G44" s="30"/>
      <c r="H44" s="30"/>
      <c r="I44" s="9"/>
      <c r="J44" s="9"/>
      <c r="K44" s="9"/>
      <c r="L44" s="9"/>
      <c r="M44" s="30"/>
      <c r="N44" s="9"/>
      <c r="O44" s="9"/>
      <c r="P44" s="5"/>
      <c r="Q44" s="270"/>
    </row>
    <row r="45" spans="1:26" ht="14.25" customHeight="1">
      <c r="A45" s="3"/>
      <c r="B45" s="196" t="s">
        <v>228</v>
      </c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5"/>
      <c r="Q45" s="854"/>
    </row>
    <row r="46" spans="1:26" ht="4.5" customHeight="1">
      <c r="A46" s="3"/>
      <c r="B46" s="9"/>
      <c r="C46" s="9"/>
      <c r="D46" s="9"/>
      <c r="E46" s="9"/>
      <c r="F46" s="9"/>
      <c r="G46" s="30"/>
      <c r="H46" s="30"/>
      <c r="I46" s="9"/>
      <c r="J46" s="9"/>
      <c r="K46" s="9"/>
      <c r="L46" s="9"/>
      <c r="M46" s="30"/>
      <c r="N46" s="9"/>
      <c r="O46" s="72"/>
      <c r="P46" s="5"/>
      <c r="Q46" s="270"/>
    </row>
    <row r="47" spans="1:26" ht="14.25" customHeight="1">
      <c r="A47" s="3"/>
      <c r="B47" s="9"/>
      <c r="C47" s="9"/>
      <c r="D47" s="9"/>
      <c r="E47" s="9"/>
      <c r="F47" s="9"/>
      <c r="G47" s="1446" t="s">
        <v>101</v>
      </c>
      <c r="H47" s="1447"/>
      <c r="I47" s="9"/>
      <c r="J47" s="197"/>
      <c r="K47" s="9"/>
      <c r="L47" s="621"/>
      <c r="M47" s="1448" t="s">
        <v>74</v>
      </c>
      <c r="N47" s="9"/>
      <c r="O47" s="1437" t="s">
        <v>102</v>
      </c>
      <c r="P47" s="5"/>
      <c r="Q47" s="270"/>
    </row>
    <row r="48" spans="1:26" ht="14.25" customHeight="1">
      <c r="A48" s="3"/>
      <c r="B48" s="9"/>
      <c r="C48" s="9"/>
      <c r="D48" s="9"/>
      <c r="E48" s="9"/>
      <c r="F48" s="9"/>
      <c r="G48" s="1440" t="s">
        <v>103</v>
      </c>
      <c r="H48" s="1441"/>
      <c r="I48" s="9"/>
      <c r="J48" s="198" t="s">
        <v>104</v>
      </c>
      <c r="K48" s="9"/>
      <c r="L48" s="622" t="s">
        <v>104</v>
      </c>
      <c r="M48" s="1449"/>
      <c r="N48" s="9"/>
      <c r="O48" s="1438"/>
      <c r="P48" s="5"/>
      <c r="Q48" s="270"/>
    </row>
    <row r="49" spans="1:26" ht="32.25" customHeight="1">
      <c r="A49" s="3"/>
      <c r="B49" s="9"/>
      <c r="C49" s="9"/>
      <c r="D49" s="9"/>
      <c r="E49" s="9"/>
      <c r="F49" s="9"/>
      <c r="G49" s="1440" t="s">
        <v>78</v>
      </c>
      <c r="H49" s="1441"/>
      <c r="I49" s="9"/>
      <c r="J49" s="198"/>
      <c r="K49" s="9"/>
      <c r="L49" s="1082" t="s">
        <v>595</v>
      </c>
      <c r="M49" s="1449"/>
      <c r="N49" s="9"/>
      <c r="O49" s="1438"/>
      <c r="P49" s="5"/>
      <c r="Q49" s="1051" t="s">
        <v>598</v>
      </c>
      <c r="S49" s="855"/>
    </row>
    <row r="50" spans="1:26" ht="14.25" customHeight="1">
      <c r="A50" s="3"/>
      <c r="B50" s="9"/>
      <c r="C50" s="9"/>
      <c r="D50" s="9"/>
      <c r="E50" s="9"/>
      <c r="F50" s="9"/>
      <c r="G50" s="1466" t="s">
        <v>79</v>
      </c>
      <c r="H50" s="1467"/>
      <c r="I50" s="9"/>
      <c r="J50" s="199" t="s">
        <v>79</v>
      </c>
      <c r="K50" s="9"/>
      <c r="L50" s="623" t="s">
        <v>79</v>
      </c>
      <c r="M50" s="1450" t="s">
        <v>74</v>
      </c>
      <c r="N50" s="9"/>
      <c r="O50" s="1439"/>
      <c r="P50" s="5"/>
      <c r="Q50" s="270"/>
    </row>
    <row r="51" spans="1:26" ht="4.5" customHeight="1">
      <c r="A51" s="3"/>
      <c r="B51" s="9"/>
      <c r="C51" s="9"/>
      <c r="D51" s="9"/>
      <c r="E51" s="9"/>
      <c r="F51" s="9"/>
      <c r="G51" s="30"/>
      <c r="H51" s="30"/>
      <c r="I51" s="9"/>
      <c r="J51" s="9"/>
      <c r="K51" s="9"/>
      <c r="L51" s="9"/>
      <c r="M51" s="30"/>
      <c r="N51" s="9"/>
      <c r="O51" s="179"/>
      <c r="P51" s="5"/>
      <c r="Q51" s="270"/>
    </row>
    <row r="52" spans="1:26" s="70" customFormat="1" ht="14.25" customHeight="1">
      <c r="A52" s="63"/>
      <c r="B52" s="200" t="s">
        <v>105</v>
      </c>
      <c r="C52" s="1468" t="s">
        <v>106</v>
      </c>
      <c r="D52" s="1469"/>
      <c r="E52" s="1469"/>
      <c r="F52" s="1470"/>
      <c r="G52" s="1471"/>
      <c r="H52" s="1471"/>
      <c r="I52" s="201"/>
      <c r="J52" s="603"/>
      <c r="K52" s="201"/>
      <c r="L52" s="635">
        <f>IFERROR(J52*(1+J63),"")</f>
        <v>0</v>
      </c>
      <c r="M52" s="202" t="str">
        <f t="shared" ref="M52:M59" si="1">IFERROR(L52/divisor,"")</f>
        <v/>
      </c>
      <c r="N52" s="183"/>
      <c r="O52" s="65"/>
      <c r="P52" s="68"/>
      <c r="Q52" s="849"/>
      <c r="R52" s="801"/>
      <c r="S52" s="801"/>
      <c r="T52" s="801"/>
      <c r="U52" s="801"/>
      <c r="V52" s="801"/>
      <c r="W52" s="801"/>
      <c r="X52" s="801"/>
      <c r="Y52" s="801"/>
      <c r="Z52" s="801"/>
    </row>
    <row r="53" spans="1:26" s="70" customFormat="1" ht="14.25" customHeight="1">
      <c r="A53" s="63"/>
      <c r="B53" s="200" t="s">
        <v>107</v>
      </c>
      <c r="C53" s="1451" t="s">
        <v>70</v>
      </c>
      <c r="D53" s="1452"/>
      <c r="E53" s="1452"/>
      <c r="F53" s="1453"/>
      <c r="G53" s="1471"/>
      <c r="H53" s="1471"/>
      <c r="I53" s="201"/>
      <c r="J53" s="603"/>
      <c r="K53" s="201"/>
      <c r="L53" s="635">
        <f>IFERROR(J53*(1+J63),"")</f>
        <v>0</v>
      </c>
      <c r="M53" s="202" t="str">
        <f t="shared" si="1"/>
        <v/>
      </c>
      <c r="N53" s="183"/>
      <c r="O53" s="185"/>
      <c r="P53" s="68"/>
      <c r="Q53" s="853"/>
      <c r="R53" s="801"/>
      <c r="S53" s="801"/>
      <c r="T53" s="801"/>
      <c r="U53" s="801"/>
      <c r="V53" s="801"/>
      <c r="W53" s="801"/>
      <c r="X53" s="801"/>
      <c r="Y53" s="801"/>
      <c r="Z53" s="801"/>
    </row>
    <row r="54" spans="1:26" s="70" customFormat="1" ht="14.25" customHeight="1">
      <c r="A54" s="63"/>
      <c r="B54" s="200" t="s">
        <v>108</v>
      </c>
      <c r="C54" s="1472" t="s">
        <v>484</v>
      </c>
      <c r="D54" s="1452"/>
      <c r="E54" s="1452"/>
      <c r="F54" s="1453"/>
      <c r="G54" s="1471"/>
      <c r="H54" s="1471"/>
      <c r="I54" s="201"/>
      <c r="J54" s="603"/>
      <c r="K54" s="201"/>
      <c r="L54" s="635">
        <f>IFERROR(J54*(1+J63),"")</f>
        <v>0</v>
      </c>
      <c r="M54" s="202" t="str">
        <f t="shared" si="1"/>
        <v/>
      </c>
      <c r="N54" s="183"/>
      <c r="O54" s="185"/>
      <c r="P54" s="68"/>
      <c r="Q54" s="862" t="s">
        <v>485</v>
      </c>
      <c r="R54" s="801"/>
      <c r="S54" s="801"/>
      <c r="T54" s="801"/>
      <c r="U54" s="801"/>
      <c r="V54" s="801"/>
      <c r="W54" s="801"/>
      <c r="X54" s="801"/>
      <c r="Y54" s="801"/>
      <c r="Z54" s="801"/>
    </row>
    <row r="55" spans="1:26" s="70" customFormat="1" ht="14.25" customHeight="1">
      <c r="A55" s="63"/>
      <c r="B55" s="200" t="s">
        <v>109</v>
      </c>
      <c r="C55" s="782" t="s">
        <v>71</v>
      </c>
      <c r="D55" s="783"/>
      <c r="E55" s="783"/>
      <c r="F55" s="784"/>
      <c r="G55" s="1471"/>
      <c r="H55" s="1471"/>
      <c r="I55" s="201"/>
      <c r="J55" s="603"/>
      <c r="K55" s="201"/>
      <c r="L55" s="635">
        <f>IFERROR(J55*(1+J63),"")</f>
        <v>0</v>
      </c>
      <c r="M55" s="202" t="str">
        <f t="shared" si="1"/>
        <v/>
      </c>
      <c r="N55" s="183"/>
      <c r="O55" s="185"/>
      <c r="P55" s="68"/>
      <c r="Q55" s="856" t="s">
        <v>486</v>
      </c>
      <c r="R55" s="801"/>
      <c r="S55" s="801"/>
      <c r="T55" s="801"/>
      <c r="U55" s="801"/>
      <c r="V55" s="801"/>
      <c r="W55" s="801"/>
      <c r="X55" s="801"/>
      <c r="Y55" s="801"/>
      <c r="Z55" s="801"/>
    </row>
    <row r="56" spans="1:26" s="70" customFormat="1" ht="14.25" customHeight="1">
      <c r="A56" s="63"/>
      <c r="B56" s="200" t="s">
        <v>110</v>
      </c>
      <c r="C56" s="786" t="s">
        <v>72</v>
      </c>
      <c r="D56" s="787"/>
      <c r="E56" s="787"/>
      <c r="F56" s="788"/>
      <c r="G56" s="1471"/>
      <c r="H56" s="1471"/>
      <c r="I56" s="201"/>
      <c r="J56" s="603"/>
      <c r="K56" s="201"/>
      <c r="L56" s="635">
        <f>IFERROR(J56*(1+J63),"")</f>
        <v>0</v>
      </c>
      <c r="M56" s="202" t="str">
        <f t="shared" si="1"/>
        <v/>
      </c>
      <c r="N56" s="183"/>
      <c r="O56" s="185"/>
      <c r="P56" s="68"/>
      <c r="Q56" s="853"/>
      <c r="R56" s="801"/>
      <c r="S56" s="801"/>
      <c r="T56" s="801"/>
      <c r="U56" s="801"/>
      <c r="V56" s="801"/>
      <c r="W56" s="801"/>
      <c r="X56" s="801"/>
      <c r="Y56" s="801"/>
      <c r="Z56" s="801"/>
    </row>
    <row r="57" spans="1:26" s="70" customFormat="1" ht="14.25" customHeight="1">
      <c r="A57" s="63"/>
      <c r="B57" s="200" t="s">
        <v>111</v>
      </c>
      <c r="C57" s="782" t="s">
        <v>58</v>
      </c>
      <c r="D57" s="783"/>
      <c r="E57" s="783"/>
      <c r="F57" s="784"/>
      <c r="G57" s="1471"/>
      <c r="H57" s="1471"/>
      <c r="I57" s="201"/>
      <c r="J57" s="603"/>
      <c r="K57" s="201"/>
      <c r="L57" s="635">
        <f>IFERROR(J57*(1+J63),"")</f>
        <v>0</v>
      </c>
      <c r="M57" s="202" t="str">
        <f t="shared" si="1"/>
        <v/>
      </c>
      <c r="N57" s="183"/>
      <c r="O57" s="185"/>
      <c r="P57" s="68"/>
      <c r="Q57" s="850"/>
      <c r="R57" s="801"/>
      <c r="S57" s="801"/>
      <c r="T57" s="801"/>
      <c r="U57" s="801"/>
      <c r="V57" s="801"/>
      <c r="W57" s="801"/>
      <c r="X57" s="801"/>
      <c r="Y57" s="801"/>
      <c r="Z57" s="801"/>
    </row>
    <row r="58" spans="1:26" s="70" customFormat="1" ht="14.25" customHeight="1">
      <c r="A58" s="63"/>
      <c r="B58" s="200" t="s">
        <v>112</v>
      </c>
      <c r="C58" s="1474" t="str">
        <f>IF(F22&lt;&gt;0,F22,"")</f>
        <v/>
      </c>
      <c r="D58" s="1475"/>
      <c r="E58" s="1475"/>
      <c r="F58" s="1476"/>
      <c r="G58" s="1471"/>
      <c r="H58" s="1471"/>
      <c r="I58" s="201"/>
      <c r="J58" s="785"/>
      <c r="K58" s="201"/>
      <c r="L58" s="635">
        <f>IFERROR(J58*(1+J63),"")</f>
        <v>0</v>
      </c>
      <c r="M58" s="202" t="str">
        <f t="shared" si="1"/>
        <v/>
      </c>
      <c r="N58" s="183"/>
      <c r="O58" s="185"/>
      <c r="P58" s="68"/>
      <c r="Q58" s="850"/>
      <c r="R58" s="801"/>
      <c r="S58" s="801"/>
      <c r="T58" s="801"/>
      <c r="U58" s="801"/>
      <c r="V58" s="801"/>
      <c r="W58" s="801"/>
      <c r="X58" s="801"/>
      <c r="Y58" s="801"/>
      <c r="Z58" s="801"/>
    </row>
    <row r="59" spans="1:26" s="70" customFormat="1" ht="14.25" customHeight="1">
      <c r="A59" s="63"/>
      <c r="B59" s="200" t="s">
        <v>487</v>
      </c>
      <c r="C59" s="1474" t="str">
        <f>IF(F24&gt;0,F24,"")</f>
        <v/>
      </c>
      <c r="D59" s="1475"/>
      <c r="E59" s="1475"/>
      <c r="F59" s="1476"/>
      <c r="G59" s="1471"/>
      <c r="H59" s="1471"/>
      <c r="I59" s="201"/>
      <c r="J59" s="603"/>
      <c r="K59" s="201"/>
      <c r="L59" s="635">
        <f>IFERROR(J59*(1+J63),"")</f>
        <v>0</v>
      </c>
      <c r="M59" s="202" t="str">
        <f t="shared" si="1"/>
        <v/>
      </c>
      <c r="N59" s="183"/>
      <c r="O59" s="185"/>
      <c r="P59" s="68"/>
      <c r="Q59" s="853"/>
      <c r="R59" s="801"/>
      <c r="S59" s="801"/>
      <c r="T59" s="801"/>
      <c r="U59" s="801"/>
      <c r="V59" s="801"/>
      <c r="W59" s="801"/>
      <c r="X59" s="801"/>
      <c r="Y59" s="801"/>
      <c r="Z59" s="801"/>
    </row>
    <row r="60" spans="1:26" s="64" customFormat="1" ht="15" customHeight="1" thickBot="1">
      <c r="A60" s="81"/>
      <c r="B60" s="66"/>
      <c r="C60" s="203" t="s">
        <v>100</v>
      </c>
      <c r="D60" s="204"/>
      <c r="E60" s="204"/>
      <c r="F60" s="205"/>
      <c r="G60" s="1473">
        <f>SUM(G52:H59)</f>
        <v>0</v>
      </c>
      <c r="H60" s="1473"/>
      <c r="I60" s="206"/>
      <c r="J60" s="604">
        <f>SUM(J52:J59)</f>
        <v>0</v>
      </c>
      <c r="K60" s="206"/>
      <c r="L60" s="636">
        <f>SUM(L52:L59)</f>
        <v>0</v>
      </c>
      <c r="M60" s="193" t="str">
        <f>IFERROR(L60/divisor,"")</f>
        <v/>
      </c>
      <c r="N60" s="66"/>
      <c r="O60" s="66"/>
      <c r="P60" s="85"/>
      <c r="Q60" s="862" t="s">
        <v>488</v>
      </c>
      <c r="R60" s="806"/>
      <c r="S60" s="806"/>
      <c r="T60" s="806"/>
      <c r="U60" s="806"/>
      <c r="V60" s="806"/>
      <c r="W60" s="806"/>
      <c r="X60" s="806"/>
      <c r="Y60" s="806"/>
      <c r="Z60" s="806"/>
    </row>
    <row r="61" spans="1:26" s="64" customFormat="1" ht="15" customHeight="1" thickTop="1">
      <c r="A61" s="81"/>
      <c r="B61" s="66"/>
      <c r="C61" s="62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85"/>
      <c r="Q61" s="849"/>
      <c r="R61" s="806"/>
      <c r="S61" s="806"/>
      <c r="T61" s="806"/>
      <c r="U61" s="806"/>
      <c r="V61" s="806"/>
      <c r="W61" s="806"/>
      <c r="X61" s="806"/>
      <c r="Y61" s="806"/>
      <c r="Z61" s="806"/>
    </row>
    <row r="62" spans="1:26" s="64" customFormat="1" ht="14.25" customHeight="1" thickBot="1">
      <c r="A62" s="81"/>
      <c r="B62" s="66"/>
      <c r="C62" s="62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85"/>
      <c r="Q62" s="856"/>
      <c r="R62" s="806"/>
      <c r="S62" s="806"/>
      <c r="T62" s="806"/>
      <c r="U62" s="806"/>
      <c r="V62" s="806"/>
      <c r="W62" s="806"/>
      <c r="X62" s="806"/>
      <c r="Y62" s="806"/>
      <c r="Z62" s="806"/>
    </row>
    <row r="63" spans="1:26" s="64" customFormat="1" ht="14.25" customHeight="1" thickBot="1">
      <c r="A63" s="81"/>
      <c r="B63" s="1083" t="s">
        <v>594</v>
      </c>
      <c r="C63" s="32"/>
      <c r="D63" s="23"/>
      <c r="E63" s="130"/>
      <c r="F63" s="130"/>
      <c r="G63" s="645" t="s">
        <v>374</v>
      </c>
      <c r="H63" s="465"/>
      <c r="I63" s="625"/>
      <c r="J63" s="646"/>
      <c r="K63" s="634"/>
      <c r="L63" s="703" t="str">
        <f>IF((J43+J60&gt;0),(J43+J60)*J63,"")</f>
        <v/>
      </c>
      <c r="M63" s="66"/>
      <c r="N63" s="66"/>
      <c r="O63" s="66"/>
      <c r="P63" s="85"/>
      <c r="Q63" s="1041" t="s">
        <v>599</v>
      </c>
      <c r="R63" s="806"/>
      <c r="S63" s="806"/>
      <c r="T63" s="806"/>
      <c r="U63" s="806"/>
      <c r="V63" s="806"/>
      <c r="W63" s="806"/>
      <c r="X63" s="806"/>
      <c r="Y63" s="806"/>
      <c r="Z63" s="806"/>
    </row>
    <row r="64" spans="1:26" s="64" customFormat="1" ht="14.25" customHeight="1">
      <c r="A64" s="81"/>
      <c r="B64" s="66"/>
      <c r="C64" s="62"/>
      <c r="D64" s="66"/>
      <c r="E64" s="66"/>
      <c r="F64" s="66"/>
      <c r="G64" s="66"/>
      <c r="H64" s="66"/>
      <c r="I64" s="66"/>
      <c r="J64" s="1245" t="str">
        <f>IF(J63&gt;0.02,"Hinweis: Risiken über 2 % sind zu begründen und mit Nachweisen zu belegen","")</f>
        <v/>
      </c>
      <c r="K64" s="66"/>
      <c r="L64" s="66"/>
      <c r="M64" s="66"/>
      <c r="N64" s="66"/>
      <c r="O64" s="66"/>
      <c r="P64" s="85"/>
      <c r="Q64" s="857"/>
      <c r="R64" s="806"/>
      <c r="S64" s="806"/>
      <c r="T64" s="806"/>
      <c r="U64" s="806"/>
      <c r="V64" s="806"/>
      <c r="W64" s="806"/>
      <c r="X64" s="806"/>
      <c r="Y64" s="806"/>
      <c r="Z64" s="806"/>
    </row>
    <row r="65" spans="1:26" s="64" customFormat="1" ht="14.25" customHeight="1">
      <c r="A65" s="81"/>
      <c r="B65" s="66"/>
      <c r="C65" s="62"/>
      <c r="D65" s="66"/>
      <c r="E65" s="66"/>
      <c r="F65" s="66"/>
      <c r="G65" s="66"/>
      <c r="H65" s="66"/>
      <c r="I65" s="66"/>
      <c r="J65" s="637"/>
      <c r="K65" s="66"/>
      <c r="L65" s="66"/>
      <c r="M65" s="66"/>
      <c r="N65" s="66"/>
      <c r="O65" s="66"/>
      <c r="P65" s="85"/>
      <c r="Q65" s="858"/>
      <c r="R65" s="806"/>
      <c r="S65" s="806"/>
      <c r="T65" s="806"/>
      <c r="U65" s="806"/>
      <c r="V65" s="806"/>
      <c r="W65" s="806"/>
      <c r="X65" s="806"/>
      <c r="Y65" s="806"/>
      <c r="Z65" s="806"/>
    </row>
    <row r="66" spans="1:26" ht="14.25" customHeight="1">
      <c r="A66" s="71"/>
      <c r="B66" s="207"/>
      <c r="C66" s="207"/>
      <c r="D66" s="207"/>
      <c r="E66" s="207"/>
      <c r="F66" s="207"/>
      <c r="G66" s="53"/>
      <c r="H66" s="53"/>
      <c r="I66" s="52"/>
      <c r="J66" s="52"/>
      <c r="K66" s="52"/>
      <c r="L66" s="52"/>
      <c r="M66" s="208"/>
      <c r="N66" s="72"/>
      <c r="O66" s="72"/>
      <c r="P66" s="73"/>
      <c r="Q66" s="859"/>
    </row>
    <row r="67" spans="1:26" ht="15" thickBot="1">
      <c r="N67" s="9"/>
      <c r="O67" s="9"/>
      <c r="P67" s="9"/>
      <c r="Q67" s="270"/>
    </row>
    <row r="68" spans="1:26" ht="15" thickBot="1">
      <c r="D68" s="1349" t="s">
        <v>276</v>
      </c>
      <c r="E68" s="1350"/>
      <c r="F68" s="1350"/>
      <c r="G68" s="1350"/>
      <c r="H68" s="1350"/>
      <c r="I68" s="1350"/>
      <c r="J68" s="1350"/>
      <c r="K68" s="1350"/>
      <c r="L68" s="1351"/>
      <c r="Q68" s="808"/>
    </row>
    <row r="69" spans="1:26" ht="6.75" customHeight="1" thickBot="1"/>
    <row r="70" spans="1:26" ht="15" thickBot="1">
      <c r="D70" s="1349" t="s">
        <v>273</v>
      </c>
      <c r="E70" s="1350"/>
      <c r="F70" s="1350"/>
      <c r="G70" s="1350"/>
      <c r="H70" s="1350"/>
      <c r="I70" s="1350"/>
      <c r="J70" s="1350"/>
      <c r="K70" s="1350"/>
      <c r="L70" s="1351"/>
    </row>
  </sheetData>
  <sheetProtection algorithmName="SHA-512" hashValue="U9BvZT957gbB4S1Cd1j+mqJOZw8f9s9jz/sXWKbPYH6Hv8o6dGKR7+M5UmQJ3U3EO13vlKLeC2eHItqBzQdpNA==" saltValue="sstndTEjg99Citp5rK0lFA==" spinCount="100000" sheet="1" objects="1" scenarios="1"/>
  <mergeCells count="71">
    <mergeCell ref="G60:H60"/>
    <mergeCell ref="D68:L68"/>
    <mergeCell ref="D70:L70"/>
    <mergeCell ref="G55:H55"/>
    <mergeCell ref="G56:H56"/>
    <mergeCell ref="G57:H57"/>
    <mergeCell ref="C59:F59"/>
    <mergeCell ref="G59:H59"/>
    <mergeCell ref="G58:H58"/>
    <mergeCell ref="C58:F58"/>
    <mergeCell ref="C52:F52"/>
    <mergeCell ref="G52:H52"/>
    <mergeCell ref="C53:F53"/>
    <mergeCell ref="G53:H53"/>
    <mergeCell ref="C54:F54"/>
    <mergeCell ref="G54:H54"/>
    <mergeCell ref="G47:H47"/>
    <mergeCell ref="M47:M50"/>
    <mergeCell ref="O47:O50"/>
    <mergeCell ref="G48:H48"/>
    <mergeCell ref="G49:H49"/>
    <mergeCell ref="G50:H50"/>
    <mergeCell ref="C41:F41"/>
    <mergeCell ref="G41:H41"/>
    <mergeCell ref="C42:F42"/>
    <mergeCell ref="G42:H42"/>
    <mergeCell ref="C43:F43"/>
    <mergeCell ref="G43:H43"/>
    <mergeCell ref="C35:F35"/>
    <mergeCell ref="G35:H35"/>
    <mergeCell ref="C39:F39"/>
    <mergeCell ref="G39:H39"/>
    <mergeCell ref="C40:F40"/>
    <mergeCell ref="G40:H40"/>
    <mergeCell ref="C36:F36"/>
    <mergeCell ref="G36:H36"/>
    <mergeCell ref="C37:F37"/>
    <mergeCell ref="G37:H37"/>
    <mergeCell ref="C38:F38"/>
    <mergeCell ref="G38:H38"/>
    <mergeCell ref="F18:H18"/>
    <mergeCell ref="C33:F33"/>
    <mergeCell ref="G33:H33"/>
    <mergeCell ref="C34:F34"/>
    <mergeCell ref="G34:H34"/>
    <mergeCell ref="F24:H24"/>
    <mergeCell ref="O28:O31"/>
    <mergeCell ref="G29:H29"/>
    <mergeCell ref="G30:H30"/>
    <mergeCell ref="G31:H31"/>
    <mergeCell ref="F22:H22"/>
    <mergeCell ref="J22:K22"/>
    <mergeCell ref="G28:H28"/>
    <mergeCell ref="M28:M31"/>
    <mergeCell ref="J24:K24"/>
    <mergeCell ref="I6:K6"/>
    <mergeCell ref="J20:K20"/>
    <mergeCell ref="A1:P1"/>
    <mergeCell ref="A2:P2"/>
    <mergeCell ref="A3:P3"/>
    <mergeCell ref="C6:E6"/>
    <mergeCell ref="J10:K10"/>
    <mergeCell ref="J12:K12"/>
    <mergeCell ref="J14:K14"/>
    <mergeCell ref="J16:K16"/>
    <mergeCell ref="J18:K18"/>
    <mergeCell ref="F20:H20"/>
    <mergeCell ref="F10:H10"/>
    <mergeCell ref="F12:H12"/>
    <mergeCell ref="F14:H14"/>
    <mergeCell ref="F16:H16"/>
  </mergeCells>
  <conditionalFormatting sqref="G43:H43">
    <cfRule type="expression" dxfId="61" priority="9">
      <formula>$G$43=0</formula>
    </cfRule>
  </conditionalFormatting>
  <conditionalFormatting sqref="L43">
    <cfRule type="expression" dxfId="60" priority="8">
      <formula>$L$43=0</formula>
    </cfRule>
  </conditionalFormatting>
  <conditionalFormatting sqref="G60:H60">
    <cfRule type="expression" dxfId="59" priority="7">
      <formula>$G$60=0</formula>
    </cfRule>
  </conditionalFormatting>
  <conditionalFormatting sqref="L60">
    <cfRule type="expression" dxfId="58" priority="6">
      <formula>$L$60=0</formula>
    </cfRule>
  </conditionalFormatting>
  <conditionalFormatting sqref="J43">
    <cfRule type="expression" dxfId="57" priority="5">
      <formula>$L$43=0</formula>
    </cfRule>
  </conditionalFormatting>
  <conditionalFormatting sqref="J60">
    <cfRule type="expression" dxfId="56" priority="4">
      <formula>$L$60=0</formula>
    </cfRule>
  </conditionalFormatting>
  <conditionalFormatting sqref="L33:L42">
    <cfRule type="cellIs" dxfId="55" priority="3" operator="equal">
      <formula>0</formula>
    </cfRule>
  </conditionalFormatting>
  <conditionalFormatting sqref="L52:L59">
    <cfRule type="cellIs" dxfId="54" priority="2" operator="equal">
      <formula>0</formula>
    </cfRule>
  </conditionalFormatting>
  <dataValidations count="2">
    <dataValidation type="whole" operator="greaterThan" allowBlank="1" showInputMessage="1" showErrorMessage="1" errorTitle="Eingabemöglichkeit" error="nur ganze Zahlen (bitte kaufmännisch runden)" prompt="nur ganze Zahlen, kaufmännisch gerundet" sqref="G52:H59 J52:J59 G33:H42 J33:J42">
      <formula1>-1</formula1>
    </dataValidation>
    <dataValidation errorStyle="information" allowBlank="1" showInputMessage="1" showErrorMessage="1" errorTitle="Unternehmerrisiko" promptTitle="Unternehmerrisiko" prompt="siehe allgemeine Hinweise" sqref="J63"/>
  </dataValidations>
  <hyperlinks>
    <hyperlink ref="D68" location="'Anlage 1'!A1" display="Anlage 1"/>
    <hyperlink ref="D68:L68" location="Beförderung!A1" display="gehe weiter zu Beförderung"/>
    <hyperlink ref="D70" location="'Anlage 1'!A1" display="Anlage 1"/>
    <hyperlink ref="D70:L70" location="Forderung!A1" display="gehe weiter zu B_Forderung"/>
  </hyperlinks>
  <pageMargins left="0.70866141732283472" right="0.70866141732283472" top="0.78740157480314965" bottom="0.78740157480314965" header="0.31496062992125984" footer="0.31496062992125984"/>
  <pageSetup paperSize="9" scale="78" orientation="portrait"/>
  <headerFooter>
    <oddHeader>&amp;C&amp;9Seite 4</oddHeader>
    <oddFooter>&amp;L&amp;8Version: 15.01.2020&amp;C&amp;8Verhandlungsunterlagen SGB XI&amp;R&amp;8PSK-Beschluss Nr. 3/2019 vom 19.09.2019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Check Box 1">
              <controlPr defaultSize="0" autoFill="0" autoLine="0" autoPict="0">
                <anchor moveWithCells="1">
                  <from>
                    <xdr:col>14</xdr:col>
                    <xdr:colOff>57150</xdr:colOff>
                    <xdr:row>33</xdr:row>
                    <xdr:rowOff>28575</xdr:rowOff>
                  </from>
                  <to>
                    <xdr:col>14</xdr:col>
                    <xdr:colOff>314325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4" name="Check Box 2">
              <controlPr defaultSize="0" autoFill="0" autoLine="0" autoPict="0">
                <anchor moveWithCells="1">
                  <from>
                    <xdr:col>14</xdr:col>
                    <xdr:colOff>57150</xdr:colOff>
                    <xdr:row>34</xdr:row>
                    <xdr:rowOff>28575</xdr:rowOff>
                  </from>
                  <to>
                    <xdr:col>14</xdr:col>
                    <xdr:colOff>314325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5" name="Check Box 6">
              <controlPr defaultSize="0" autoFill="0" autoLine="0" autoPict="0">
                <anchor moveWithCells="1">
                  <from>
                    <xdr:col>14</xdr:col>
                    <xdr:colOff>57150</xdr:colOff>
                    <xdr:row>35</xdr:row>
                    <xdr:rowOff>28575</xdr:rowOff>
                  </from>
                  <to>
                    <xdr:col>14</xdr:col>
                    <xdr:colOff>314325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6" name="Check Box 7">
              <controlPr defaultSize="0" autoFill="0" autoLine="0" autoPict="0">
                <anchor moveWithCells="1">
                  <from>
                    <xdr:col>14</xdr:col>
                    <xdr:colOff>57150</xdr:colOff>
                    <xdr:row>36</xdr:row>
                    <xdr:rowOff>28575</xdr:rowOff>
                  </from>
                  <to>
                    <xdr:col>14</xdr:col>
                    <xdr:colOff>314325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7" name="Check Box 8">
              <controlPr defaultSize="0" autoFill="0" autoLine="0" autoPict="0">
                <anchor moveWithCells="1">
                  <from>
                    <xdr:col>14</xdr:col>
                    <xdr:colOff>57150</xdr:colOff>
                    <xdr:row>37</xdr:row>
                    <xdr:rowOff>28575</xdr:rowOff>
                  </from>
                  <to>
                    <xdr:col>14</xdr:col>
                    <xdr:colOff>314325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8" name="Check Box 9">
              <controlPr defaultSize="0" autoFill="0" autoLine="0" autoPict="0">
                <anchor moveWithCells="1">
                  <from>
                    <xdr:col>14</xdr:col>
                    <xdr:colOff>57150</xdr:colOff>
                    <xdr:row>38</xdr:row>
                    <xdr:rowOff>28575</xdr:rowOff>
                  </from>
                  <to>
                    <xdr:col>14</xdr:col>
                    <xdr:colOff>314325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9" name="Check Box 10">
              <controlPr defaultSize="0" autoFill="0" autoLine="0" autoPict="0">
                <anchor moveWithCells="1">
                  <from>
                    <xdr:col>14</xdr:col>
                    <xdr:colOff>57150</xdr:colOff>
                    <xdr:row>39</xdr:row>
                    <xdr:rowOff>28575</xdr:rowOff>
                  </from>
                  <to>
                    <xdr:col>14</xdr:col>
                    <xdr:colOff>314325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0" name="Check Box 12">
              <controlPr defaultSize="0" autoFill="0" autoLine="0" autoPict="0">
                <anchor moveWithCells="1">
                  <from>
                    <xdr:col>14</xdr:col>
                    <xdr:colOff>57150</xdr:colOff>
                    <xdr:row>40</xdr:row>
                    <xdr:rowOff>28575</xdr:rowOff>
                  </from>
                  <to>
                    <xdr:col>14</xdr:col>
                    <xdr:colOff>314325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1" name="Check Box 13">
              <controlPr defaultSize="0" autoFill="0" autoLine="0" autoPict="0">
                <anchor moveWithCells="1">
                  <from>
                    <xdr:col>14</xdr:col>
                    <xdr:colOff>57150</xdr:colOff>
                    <xdr:row>41</xdr:row>
                    <xdr:rowOff>28575</xdr:rowOff>
                  </from>
                  <to>
                    <xdr:col>14</xdr:col>
                    <xdr:colOff>314325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2" name="Check Box 14">
              <controlPr defaultSize="0" autoFill="0" autoLine="0" autoPict="0">
                <anchor moveWithCells="1">
                  <from>
                    <xdr:col>14</xdr:col>
                    <xdr:colOff>57150</xdr:colOff>
                    <xdr:row>51</xdr:row>
                    <xdr:rowOff>28575</xdr:rowOff>
                  </from>
                  <to>
                    <xdr:col>14</xdr:col>
                    <xdr:colOff>314325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3" name="Check Box 15">
              <controlPr defaultSize="0" autoFill="0" autoLine="0" autoPict="0">
                <anchor moveWithCells="1">
                  <from>
                    <xdr:col>14</xdr:col>
                    <xdr:colOff>57150</xdr:colOff>
                    <xdr:row>52</xdr:row>
                    <xdr:rowOff>28575</xdr:rowOff>
                  </from>
                  <to>
                    <xdr:col>14</xdr:col>
                    <xdr:colOff>314325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4" name="Check Box 16">
              <controlPr defaultSize="0" autoFill="0" autoLine="0" autoPict="0">
                <anchor moveWithCells="1">
                  <from>
                    <xdr:col>14</xdr:col>
                    <xdr:colOff>57150</xdr:colOff>
                    <xdr:row>53</xdr:row>
                    <xdr:rowOff>28575</xdr:rowOff>
                  </from>
                  <to>
                    <xdr:col>14</xdr:col>
                    <xdr:colOff>314325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5" name="Check Box 17">
              <controlPr defaultSize="0" autoFill="0" autoLine="0" autoPict="0">
                <anchor moveWithCells="1">
                  <from>
                    <xdr:col>14</xdr:col>
                    <xdr:colOff>57150</xdr:colOff>
                    <xdr:row>54</xdr:row>
                    <xdr:rowOff>28575</xdr:rowOff>
                  </from>
                  <to>
                    <xdr:col>14</xdr:col>
                    <xdr:colOff>314325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6" name="Check Box 18">
              <controlPr defaultSize="0" autoFill="0" autoLine="0" autoPict="0">
                <anchor moveWithCells="1">
                  <from>
                    <xdr:col>14</xdr:col>
                    <xdr:colOff>57150</xdr:colOff>
                    <xdr:row>55</xdr:row>
                    <xdr:rowOff>28575</xdr:rowOff>
                  </from>
                  <to>
                    <xdr:col>14</xdr:col>
                    <xdr:colOff>314325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7" name="Check Box 19">
              <controlPr defaultSize="0" autoFill="0" autoLine="0" autoPict="0">
                <anchor moveWithCells="1">
                  <from>
                    <xdr:col>14</xdr:col>
                    <xdr:colOff>57150</xdr:colOff>
                    <xdr:row>56</xdr:row>
                    <xdr:rowOff>28575</xdr:rowOff>
                  </from>
                  <to>
                    <xdr:col>14</xdr:col>
                    <xdr:colOff>314325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8" name="Check Box 20">
              <controlPr defaultSize="0" autoFill="0" autoLine="0" autoPict="0">
                <anchor moveWithCells="1">
                  <from>
                    <xdr:col>14</xdr:col>
                    <xdr:colOff>57150</xdr:colOff>
                    <xdr:row>58</xdr:row>
                    <xdr:rowOff>28575</xdr:rowOff>
                  </from>
                  <to>
                    <xdr:col>14</xdr:col>
                    <xdr:colOff>314325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9" name="Check Box 21">
              <controlPr defaultSize="0" autoFill="0" autoLine="0" autoPict="0">
                <anchor moveWithCells="1">
                  <from>
                    <xdr:col>14</xdr:col>
                    <xdr:colOff>57150</xdr:colOff>
                    <xdr:row>32</xdr:row>
                    <xdr:rowOff>28575</xdr:rowOff>
                  </from>
                  <to>
                    <xdr:col>14</xdr:col>
                    <xdr:colOff>314325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0" name="Check Box 22">
              <controlPr defaultSize="0" autoFill="0" autoLine="0" autoPict="0">
                <anchor moveWithCells="1">
                  <from>
                    <xdr:col>3</xdr:col>
                    <xdr:colOff>990600</xdr:colOff>
                    <xdr:row>11</xdr:row>
                    <xdr:rowOff>0</xdr:rowOff>
                  </from>
                  <to>
                    <xdr:col>3</xdr:col>
                    <xdr:colOff>990600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1" name="Check Box 23">
              <controlPr defaultSize="0" autoFill="0" autoLine="0" autoPict="0">
                <anchor moveWithCells="1">
                  <from>
                    <xdr:col>3</xdr:col>
                    <xdr:colOff>990600</xdr:colOff>
                    <xdr:row>13</xdr:row>
                    <xdr:rowOff>0</xdr:rowOff>
                  </from>
                  <to>
                    <xdr:col>3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2" name="Check Box 24">
              <controlPr defaultSize="0" autoFill="0" autoLine="0" autoPict="0">
                <anchor moveWithCells="1">
                  <from>
                    <xdr:col>3</xdr:col>
                    <xdr:colOff>990600</xdr:colOff>
                    <xdr:row>15</xdr:row>
                    <xdr:rowOff>0</xdr:rowOff>
                  </from>
                  <to>
                    <xdr:col>3</xdr:col>
                    <xdr:colOff>990600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3" name="Check Box 25">
              <controlPr defaultSize="0" autoFill="0" autoLine="0" autoPict="0">
                <anchor moveWithCells="1">
                  <from>
                    <xdr:col>3</xdr:col>
                    <xdr:colOff>990600</xdr:colOff>
                    <xdr:row>17</xdr:row>
                    <xdr:rowOff>0</xdr:rowOff>
                  </from>
                  <to>
                    <xdr:col>3</xdr:col>
                    <xdr:colOff>990600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4" name="Check Box 26">
              <controlPr defaultSize="0" autoFill="0" autoLine="0" autoPict="0">
                <anchor moveWithCells="1">
                  <from>
                    <xdr:col>3</xdr:col>
                    <xdr:colOff>990600</xdr:colOff>
                    <xdr:row>19</xdr:row>
                    <xdr:rowOff>0</xdr:rowOff>
                  </from>
                  <to>
                    <xdr:col>3</xdr:col>
                    <xdr:colOff>990600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5" name="Check Box 27">
              <controlPr defaultSize="0" autoFill="0" autoLine="0" autoPict="0">
                <anchor moveWithCells="1">
                  <from>
                    <xdr:col>3</xdr:col>
                    <xdr:colOff>990600</xdr:colOff>
                    <xdr:row>21</xdr:row>
                    <xdr:rowOff>0</xdr:rowOff>
                  </from>
                  <to>
                    <xdr:col>3</xdr:col>
                    <xdr:colOff>990600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6" name="Check Box 28">
              <controlPr defaultSize="0" autoFill="0" autoLine="0" autoPict="0">
                <anchor moveWithCells="1">
                  <from>
                    <xdr:col>9</xdr:col>
                    <xdr:colOff>38100</xdr:colOff>
                    <xdr:row>21</xdr:row>
                    <xdr:rowOff>0</xdr:rowOff>
                  </from>
                  <to>
                    <xdr:col>9</xdr:col>
                    <xdr:colOff>295275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7" name="Check Box 29">
              <controlPr defaultSize="0" autoFill="0" autoLine="0" autoPict="0">
                <anchor moveWithCells="1">
                  <from>
                    <xdr:col>9</xdr:col>
                    <xdr:colOff>914400</xdr:colOff>
                    <xdr:row>20</xdr:row>
                    <xdr:rowOff>28575</xdr:rowOff>
                  </from>
                  <to>
                    <xdr:col>10</xdr:col>
                    <xdr:colOff>28575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8" name="Check Box 31">
              <controlPr defaultSize="0" autoFill="0" autoLine="0" autoPict="0">
                <anchor moveWithCells="1">
                  <from>
                    <xdr:col>3</xdr:col>
                    <xdr:colOff>914400</xdr:colOff>
                    <xdr:row>21</xdr:row>
                    <xdr:rowOff>0</xdr:rowOff>
                  </from>
                  <to>
                    <xdr:col>3</xdr:col>
                    <xdr:colOff>914400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29" name="Check Box 32">
              <controlPr defaultSize="0" autoFill="0" autoLine="0" autoPict="0">
                <anchor moveWithCells="1">
                  <from>
                    <xdr:col>9</xdr:col>
                    <xdr:colOff>38100</xdr:colOff>
                    <xdr:row>19</xdr:row>
                    <xdr:rowOff>0</xdr:rowOff>
                  </from>
                  <to>
                    <xdr:col>9</xdr:col>
                    <xdr:colOff>295275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0" name="Check Box 33">
              <controlPr defaultSize="0" autoFill="0" autoLine="0" autoPict="0">
                <anchor moveWithCells="1">
                  <from>
                    <xdr:col>9</xdr:col>
                    <xdr:colOff>914400</xdr:colOff>
                    <xdr:row>18</xdr:row>
                    <xdr:rowOff>28575</xdr:rowOff>
                  </from>
                  <to>
                    <xdr:col>10</xdr:col>
                    <xdr:colOff>28575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1" name="Check Box 34">
              <controlPr defaultSize="0" autoFill="0" autoLine="0" autoPict="0">
                <anchor moveWithCells="1">
                  <from>
                    <xdr:col>9</xdr:col>
                    <xdr:colOff>38100</xdr:colOff>
                    <xdr:row>17</xdr:row>
                    <xdr:rowOff>0</xdr:rowOff>
                  </from>
                  <to>
                    <xdr:col>9</xdr:col>
                    <xdr:colOff>295275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2" name="Check Box 35">
              <controlPr defaultSize="0" autoFill="0" autoLine="0" autoPict="0">
                <anchor moveWithCells="1">
                  <from>
                    <xdr:col>9</xdr:col>
                    <xdr:colOff>914400</xdr:colOff>
                    <xdr:row>16</xdr:row>
                    <xdr:rowOff>28575</xdr:rowOff>
                  </from>
                  <to>
                    <xdr:col>10</xdr:col>
                    <xdr:colOff>28575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3" name="Check Box 36">
              <controlPr defaultSize="0" autoFill="0" autoLine="0" autoPict="0">
                <anchor moveWithCells="1">
                  <from>
                    <xdr:col>9</xdr:col>
                    <xdr:colOff>38100</xdr:colOff>
                    <xdr:row>15</xdr:row>
                    <xdr:rowOff>0</xdr:rowOff>
                  </from>
                  <to>
                    <xdr:col>9</xdr:col>
                    <xdr:colOff>295275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34" name="Check Box 37">
              <controlPr defaultSize="0" autoFill="0" autoLine="0" autoPict="0">
                <anchor moveWithCells="1">
                  <from>
                    <xdr:col>9</xdr:col>
                    <xdr:colOff>914400</xdr:colOff>
                    <xdr:row>14</xdr:row>
                    <xdr:rowOff>28575</xdr:rowOff>
                  </from>
                  <to>
                    <xdr:col>10</xdr:col>
                    <xdr:colOff>28575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35" name="Check Box 38">
              <controlPr defaultSize="0" autoFill="0" autoLine="0" autoPict="0">
                <anchor moveWithCells="1">
                  <from>
                    <xdr:col>9</xdr:col>
                    <xdr:colOff>38100</xdr:colOff>
                    <xdr:row>13</xdr:row>
                    <xdr:rowOff>0</xdr:rowOff>
                  </from>
                  <to>
                    <xdr:col>9</xdr:col>
                    <xdr:colOff>295275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36" name="Check Box 39">
              <controlPr defaultSize="0" autoFill="0" autoLine="0" autoPict="0">
                <anchor moveWithCells="1">
                  <from>
                    <xdr:col>9</xdr:col>
                    <xdr:colOff>914400</xdr:colOff>
                    <xdr:row>12</xdr:row>
                    <xdr:rowOff>28575</xdr:rowOff>
                  </from>
                  <to>
                    <xdr:col>10</xdr:col>
                    <xdr:colOff>28575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37" name="Check Box 40">
              <controlPr defaultSize="0" autoFill="0" autoLine="0" autoPict="0">
                <anchor moveWithCells="1">
                  <from>
                    <xdr:col>9</xdr:col>
                    <xdr:colOff>38100</xdr:colOff>
                    <xdr:row>11</xdr:row>
                    <xdr:rowOff>0</xdr:rowOff>
                  </from>
                  <to>
                    <xdr:col>9</xdr:col>
                    <xdr:colOff>295275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38" name="Check Box 41">
              <controlPr defaultSize="0" autoFill="0" autoLine="0" autoPict="0">
                <anchor moveWithCells="1">
                  <from>
                    <xdr:col>9</xdr:col>
                    <xdr:colOff>914400</xdr:colOff>
                    <xdr:row>10</xdr:row>
                    <xdr:rowOff>28575</xdr:rowOff>
                  </from>
                  <to>
                    <xdr:col>10</xdr:col>
                    <xdr:colOff>28575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39" name="Check Box 42">
              <controlPr defaultSize="0" autoFill="0" autoLine="0" autoPict="0">
                <anchor moveWithCells="1">
                  <from>
                    <xdr:col>9</xdr:col>
                    <xdr:colOff>38100</xdr:colOff>
                    <xdr:row>9</xdr:row>
                    <xdr:rowOff>0</xdr:rowOff>
                  </from>
                  <to>
                    <xdr:col>9</xdr:col>
                    <xdr:colOff>295275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0" name="Check Box 43">
              <controlPr defaultSize="0" autoFill="0" autoLine="0" autoPict="0">
                <anchor moveWithCells="1">
                  <from>
                    <xdr:col>9</xdr:col>
                    <xdr:colOff>914400</xdr:colOff>
                    <xdr:row>8</xdr:row>
                    <xdr:rowOff>28575</xdr:rowOff>
                  </from>
                  <to>
                    <xdr:col>10</xdr:col>
                    <xdr:colOff>28575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1" name="Check Box 44">
              <controlPr defaultSize="0" autoFill="0" autoLine="0" autoPict="0">
                <anchor moveWithCells="1">
                  <from>
                    <xdr:col>3</xdr:col>
                    <xdr:colOff>990600</xdr:colOff>
                    <xdr:row>19</xdr:row>
                    <xdr:rowOff>0</xdr:rowOff>
                  </from>
                  <to>
                    <xdr:col>3</xdr:col>
                    <xdr:colOff>990600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2" name="Check Box 46">
              <controlPr defaultSize="0" autoFill="0" autoLine="0" autoPict="0">
                <anchor moveWithCells="1">
                  <from>
                    <xdr:col>3</xdr:col>
                    <xdr:colOff>914400</xdr:colOff>
                    <xdr:row>19</xdr:row>
                    <xdr:rowOff>0</xdr:rowOff>
                  </from>
                  <to>
                    <xdr:col>3</xdr:col>
                    <xdr:colOff>914400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43" name="Check Box 47">
              <controlPr defaultSize="0" autoFill="0" autoLine="0" autoPict="0">
                <anchor moveWithCells="1">
                  <from>
                    <xdr:col>3</xdr:col>
                    <xdr:colOff>990600</xdr:colOff>
                    <xdr:row>17</xdr:row>
                    <xdr:rowOff>0</xdr:rowOff>
                  </from>
                  <to>
                    <xdr:col>3</xdr:col>
                    <xdr:colOff>990600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44" name="Check Box 49">
              <controlPr defaultSize="0" autoFill="0" autoLine="0" autoPict="0">
                <anchor moveWithCells="1">
                  <from>
                    <xdr:col>3</xdr:col>
                    <xdr:colOff>914400</xdr:colOff>
                    <xdr:row>17</xdr:row>
                    <xdr:rowOff>0</xdr:rowOff>
                  </from>
                  <to>
                    <xdr:col>3</xdr:col>
                    <xdr:colOff>914400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45" name="Check Box 50">
              <controlPr defaultSize="0" autoFill="0" autoLine="0" autoPict="0">
                <anchor moveWithCells="1">
                  <from>
                    <xdr:col>3</xdr:col>
                    <xdr:colOff>990600</xdr:colOff>
                    <xdr:row>15</xdr:row>
                    <xdr:rowOff>0</xdr:rowOff>
                  </from>
                  <to>
                    <xdr:col>3</xdr:col>
                    <xdr:colOff>990600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46" name="Check Box 52">
              <controlPr defaultSize="0" autoFill="0" autoLine="0" autoPict="0">
                <anchor moveWithCells="1">
                  <from>
                    <xdr:col>3</xdr:col>
                    <xdr:colOff>914400</xdr:colOff>
                    <xdr:row>15</xdr:row>
                    <xdr:rowOff>0</xdr:rowOff>
                  </from>
                  <to>
                    <xdr:col>3</xdr:col>
                    <xdr:colOff>914400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47" name="Check Box 53">
              <controlPr defaultSize="0" autoFill="0" autoLine="0" autoPict="0">
                <anchor moveWithCells="1">
                  <from>
                    <xdr:col>3</xdr:col>
                    <xdr:colOff>990600</xdr:colOff>
                    <xdr:row>13</xdr:row>
                    <xdr:rowOff>0</xdr:rowOff>
                  </from>
                  <to>
                    <xdr:col>3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48" name="Check Box 55">
              <controlPr defaultSize="0" autoFill="0" autoLine="0" autoPict="0">
                <anchor moveWithCells="1">
                  <from>
                    <xdr:col>3</xdr:col>
                    <xdr:colOff>914400</xdr:colOff>
                    <xdr:row>13</xdr:row>
                    <xdr:rowOff>0</xdr:rowOff>
                  </from>
                  <to>
                    <xdr:col>3</xdr:col>
                    <xdr:colOff>914400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49" name="Check Box 56">
              <controlPr defaultSize="0" autoFill="0" autoLine="0" autoPict="0">
                <anchor moveWithCells="1">
                  <from>
                    <xdr:col>3</xdr:col>
                    <xdr:colOff>990600</xdr:colOff>
                    <xdr:row>11</xdr:row>
                    <xdr:rowOff>0</xdr:rowOff>
                  </from>
                  <to>
                    <xdr:col>3</xdr:col>
                    <xdr:colOff>990600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50" name="Check Box 57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0</xdr:rowOff>
                  </from>
                  <to>
                    <xdr:col>3</xdr:col>
                    <xdr:colOff>295275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51" name="Check Box 58">
              <controlPr defaultSize="0" autoFill="0" autoLine="0" autoPict="0">
                <anchor moveWithCells="1">
                  <from>
                    <xdr:col>3</xdr:col>
                    <xdr:colOff>914400</xdr:colOff>
                    <xdr:row>11</xdr:row>
                    <xdr:rowOff>0</xdr:rowOff>
                  </from>
                  <to>
                    <xdr:col>3</xdr:col>
                    <xdr:colOff>914400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52" name="Check Box 59">
              <controlPr defaultSize="0" autoFill="0" autoLine="0" autoPict="0">
                <anchor moveWithCells="1">
                  <from>
                    <xdr:col>3</xdr:col>
                    <xdr:colOff>990600</xdr:colOff>
                    <xdr:row>9</xdr:row>
                    <xdr:rowOff>0</xdr:rowOff>
                  </from>
                  <to>
                    <xdr:col>3</xdr:col>
                    <xdr:colOff>990600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53" name="Check Box 60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0</xdr:rowOff>
                  </from>
                  <to>
                    <xdr:col>3</xdr:col>
                    <xdr:colOff>295275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54" name="Check Box 61">
              <controlPr defaultSize="0" autoFill="0" autoLine="0" autoPict="0">
                <anchor moveWithCells="1">
                  <from>
                    <xdr:col>3</xdr:col>
                    <xdr:colOff>914400</xdr:colOff>
                    <xdr:row>9</xdr:row>
                    <xdr:rowOff>0</xdr:rowOff>
                  </from>
                  <to>
                    <xdr:col>3</xdr:col>
                    <xdr:colOff>914400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55" name="Check Box 64">
              <controlPr defaultSize="0" autoFill="0" autoLine="0" autoPict="0">
                <anchor moveWithCells="1">
                  <from>
                    <xdr:col>3</xdr:col>
                    <xdr:colOff>914400</xdr:colOff>
                    <xdr:row>9</xdr:row>
                    <xdr:rowOff>0</xdr:rowOff>
                  </from>
                  <to>
                    <xdr:col>4</xdr:col>
                    <xdr:colOff>66675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56" name="Check Box 65">
              <controlPr defaultSize="0" autoFill="0" autoLine="0" autoPict="0">
                <anchor moveWithCells="1">
                  <from>
                    <xdr:col>3</xdr:col>
                    <xdr:colOff>990600</xdr:colOff>
                    <xdr:row>11</xdr:row>
                    <xdr:rowOff>0</xdr:rowOff>
                  </from>
                  <to>
                    <xdr:col>3</xdr:col>
                    <xdr:colOff>990600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57" name="Check Box 67">
              <controlPr defaultSize="0" autoFill="0" autoLine="0" autoPict="0">
                <anchor moveWithCells="1">
                  <from>
                    <xdr:col>3</xdr:col>
                    <xdr:colOff>914400</xdr:colOff>
                    <xdr:row>11</xdr:row>
                    <xdr:rowOff>0</xdr:rowOff>
                  </from>
                  <to>
                    <xdr:col>3</xdr:col>
                    <xdr:colOff>914400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58" name="Check Box 68">
              <controlPr defaultSize="0" autoFill="0" autoLine="0" autoPict="0">
                <anchor moveWithCells="1">
                  <from>
                    <xdr:col>3</xdr:col>
                    <xdr:colOff>914400</xdr:colOff>
                    <xdr:row>11</xdr:row>
                    <xdr:rowOff>0</xdr:rowOff>
                  </from>
                  <to>
                    <xdr:col>4</xdr:col>
                    <xdr:colOff>66675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59" name="Check Box 69">
              <controlPr defaultSize="0" autoFill="0" autoLine="0" autoPict="0">
                <anchor moveWithCells="1">
                  <from>
                    <xdr:col>3</xdr:col>
                    <xdr:colOff>990600</xdr:colOff>
                    <xdr:row>13</xdr:row>
                    <xdr:rowOff>0</xdr:rowOff>
                  </from>
                  <to>
                    <xdr:col>3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60" name="Check Box 70">
              <controlPr defaultSize="0" autoFill="0" autoLine="0" autoPict="0">
                <anchor moveWithCells="1">
                  <from>
                    <xdr:col>3</xdr:col>
                    <xdr:colOff>990600</xdr:colOff>
                    <xdr:row>13</xdr:row>
                    <xdr:rowOff>0</xdr:rowOff>
                  </from>
                  <to>
                    <xdr:col>3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61" name="Check Box 71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0</xdr:rowOff>
                  </from>
                  <to>
                    <xdr:col>3</xdr:col>
                    <xdr:colOff>295275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62" name="Check Box 72">
              <controlPr defaultSize="0" autoFill="0" autoLine="0" autoPict="0">
                <anchor moveWithCells="1">
                  <from>
                    <xdr:col>3</xdr:col>
                    <xdr:colOff>914400</xdr:colOff>
                    <xdr:row>13</xdr:row>
                    <xdr:rowOff>0</xdr:rowOff>
                  </from>
                  <to>
                    <xdr:col>3</xdr:col>
                    <xdr:colOff>914400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63" name="Check Box 73">
              <controlPr defaultSize="0" autoFill="0" autoLine="0" autoPict="0">
                <anchor moveWithCells="1">
                  <from>
                    <xdr:col>3</xdr:col>
                    <xdr:colOff>990600</xdr:colOff>
                    <xdr:row>13</xdr:row>
                    <xdr:rowOff>0</xdr:rowOff>
                  </from>
                  <to>
                    <xdr:col>3</xdr:col>
                    <xdr:colOff>990600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64" name="Check Box 74">
              <controlPr defaultSize="0" autoFill="0" autoLine="0" autoPict="0">
                <anchor moveWithCells="1">
                  <from>
                    <xdr:col>3</xdr:col>
                    <xdr:colOff>914400</xdr:colOff>
                    <xdr:row>13</xdr:row>
                    <xdr:rowOff>0</xdr:rowOff>
                  </from>
                  <to>
                    <xdr:col>3</xdr:col>
                    <xdr:colOff>914400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65" name="Check Box 75">
              <controlPr defaultSize="0" autoFill="0" autoLine="0" autoPict="0">
                <anchor moveWithCells="1">
                  <from>
                    <xdr:col>3</xdr:col>
                    <xdr:colOff>914400</xdr:colOff>
                    <xdr:row>13</xdr:row>
                    <xdr:rowOff>0</xdr:rowOff>
                  </from>
                  <to>
                    <xdr:col>4</xdr:col>
                    <xdr:colOff>66675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66" name="Check Box 76">
              <controlPr defaultSize="0" autoFill="0" autoLine="0" autoPict="0">
                <anchor moveWithCells="1">
                  <from>
                    <xdr:col>3</xdr:col>
                    <xdr:colOff>990600</xdr:colOff>
                    <xdr:row>15</xdr:row>
                    <xdr:rowOff>0</xdr:rowOff>
                  </from>
                  <to>
                    <xdr:col>3</xdr:col>
                    <xdr:colOff>990600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67" name="Check Box 77">
              <controlPr defaultSize="0" autoFill="0" autoLine="0" autoPict="0">
                <anchor moveWithCells="1">
                  <from>
                    <xdr:col>3</xdr:col>
                    <xdr:colOff>990600</xdr:colOff>
                    <xdr:row>15</xdr:row>
                    <xdr:rowOff>0</xdr:rowOff>
                  </from>
                  <to>
                    <xdr:col>3</xdr:col>
                    <xdr:colOff>990600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68" name="Check Box 78">
              <controlPr defaultSize="0" autoFill="0" autoLine="0" autoPict="0">
                <anchor moveWithCells="1">
                  <from>
                    <xdr:col>3</xdr:col>
                    <xdr:colOff>38100</xdr:colOff>
                    <xdr:row>15</xdr:row>
                    <xdr:rowOff>0</xdr:rowOff>
                  </from>
                  <to>
                    <xdr:col>3</xdr:col>
                    <xdr:colOff>295275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69" name="Check Box 79">
              <controlPr defaultSize="0" autoFill="0" autoLine="0" autoPict="0">
                <anchor moveWithCells="1">
                  <from>
                    <xdr:col>3</xdr:col>
                    <xdr:colOff>914400</xdr:colOff>
                    <xdr:row>15</xdr:row>
                    <xdr:rowOff>0</xdr:rowOff>
                  </from>
                  <to>
                    <xdr:col>3</xdr:col>
                    <xdr:colOff>914400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70" name="Check Box 80">
              <controlPr defaultSize="0" autoFill="0" autoLine="0" autoPict="0">
                <anchor moveWithCells="1">
                  <from>
                    <xdr:col>3</xdr:col>
                    <xdr:colOff>990600</xdr:colOff>
                    <xdr:row>15</xdr:row>
                    <xdr:rowOff>0</xdr:rowOff>
                  </from>
                  <to>
                    <xdr:col>3</xdr:col>
                    <xdr:colOff>990600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71" name="Check Box 81">
              <controlPr defaultSize="0" autoFill="0" autoLine="0" autoPict="0">
                <anchor moveWithCells="1">
                  <from>
                    <xdr:col>3</xdr:col>
                    <xdr:colOff>914400</xdr:colOff>
                    <xdr:row>15</xdr:row>
                    <xdr:rowOff>0</xdr:rowOff>
                  </from>
                  <to>
                    <xdr:col>3</xdr:col>
                    <xdr:colOff>914400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72" name="Check Box 82">
              <controlPr defaultSize="0" autoFill="0" autoLine="0" autoPict="0">
                <anchor moveWithCells="1">
                  <from>
                    <xdr:col>3</xdr:col>
                    <xdr:colOff>914400</xdr:colOff>
                    <xdr:row>15</xdr:row>
                    <xdr:rowOff>0</xdr:rowOff>
                  </from>
                  <to>
                    <xdr:col>4</xdr:col>
                    <xdr:colOff>66675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73" name="Check Box 83">
              <controlPr defaultSize="0" autoFill="0" autoLine="0" autoPict="0">
                <anchor moveWithCells="1">
                  <from>
                    <xdr:col>3</xdr:col>
                    <xdr:colOff>990600</xdr:colOff>
                    <xdr:row>17</xdr:row>
                    <xdr:rowOff>0</xdr:rowOff>
                  </from>
                  <to>
                    <xdr:col>3</xdr:col>
                    <xdr:colOff>990600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74" name="Check Box 84">
              <controlPr defaultSize="0" autoFill="0" autoLine="0" autoPict="0">
                <anchor moveWithCells="1">
                  <from>
                    <xdr:col>3</xdr:col>
                    <xdr:colOff>990600</xdr:colOff>
                    <xdr:row>17</xdr:row>
                    <xdr:rowOff>0</xdr:rowOff>
                  </from>
                  <to>
                    <xdr:col>3</xdr:col>
                    <xdr:colOff>990600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75" name="Check Box 85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0</xdr:rowOff>
                  </from>
                  <to>
                    <xdr:col>3</xdr:col>
                    <xdr:colOff>295275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76" name="Check Box 86">
              <controlPr defaultSize="0" autoFill="0" autoLine="0" autoPict="0">
                <anchor moveWithCells="1">
                  <from>
                    <xdr:col>3</xdr:col>
                    <xdr:colOff>914400</xdr:colOff>
                    <xdr:row>17</xdr:row>
                    <xdr:rowOff>0</xdr:rowOff>
                  </from>
                  <to>
                    <xdr:col>3</xdr:col>
                    <xdr:colOff>914400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77" name="Check Box 87">
              <controlPr defaultSize="0" autoFill="0" autoLine="0" autoPict="0">
                <anchor moveWithCells="1">
                  <from>
                    <xdr:col>3</xdr:col>
                    <xdr:colOff>990600</xdr:colOff>
                    <xdr:row>17</xdr:row>
                    <xdr:rowOff>0</xdr:rowOff>
                  </from>
                  <to>
                    <xdr:col>3</xdr:col>
                    <xdr:colOff>990600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78" name="Check Box 88">
              <controlPr defaultSize="0" autoFill="0" autoLine="0" autoPict="0">
                <anchor moveWithCells="1">
                  <from>
                    <xdr:col>3</xdr:col>
                    <xdr:colOff>914400</xdr:colOff>
                    <xdr:row>17</xdr:row>
                    <xdr:rowOff>0</xdr:rowOff>
                  </from>
                  <to>
                    <xdr:col>3</xdr:col>
                    <xdr:colOff>914400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79" name="Check Box 89">
              <controlPr defaultSize="0" autoFill="0" autoLine="0" autoPict="0">
                <anchor moveWithCells="1">
                  <from>
                    <xdr:col>3</xdr:col>
                    <xdr:colOff>914400</xdr:colOff>
                    <xdr:row>17</xdr:row>
                    <xdr:rowOff>0</xdr:rowOff>
                  </from>
                  <to>
                    <xdr:col>4</xdr:col>
                    <xdr:colOff>66675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80" name="Check Box 90">
              <controlPr defaultSize="0" autoFill="0" autoLine="0" autoPict="0">
                <anchor moveWithCells="1">
                  <from>
                    <xdr:col>3</xdr:col>
                    <xdr:colOff>990600</xdr:colOff>
                    <xdr:row>19</xdr:row>
                    <xdr:rowOff>0</xdr:rowOff>
                  </from>
                  <to>
                    <xdr:col>3</xdr:col>
                    <xdr:colOff>990600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81" name="Check Box 91">
              <controlPr defaultSize="0" autoFill="0" autoLine="0" autoPict="0">
                <anchor moveWithCells="1">
                  <from>
                    <xdr:col>3</xdr:col>
                    <xdr:colOff>990600</xdr:colOff>
                    <xdr:row>19</xdr:row>
                    <xdr:rowOff>0</xdr:rowOff>
                  </from>
                  <to>
                    <xdr:col>3</xdr:col>
                    <xdr:colOff>990600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82" name="Check Box 92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0</xdr:rowOff>
                  </from>
                  <to>
                    <xdr:col>3</xdr:col>
                    <xdr:colOff>295275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83" name="Check Box 93">
              <controlPr defaultSize="0" autoFill="0" autoLine="0" autoPict="0">
                <anchor moveWithCells="1">
                  <from>
                    <xdr:col>3</xdr:col>
                    <xdr:colOff>914400</xdr:colOff>
                    <xdr:row>19</xdr:row>
                    <xdr:rowOff>0</xdr:rowOff>
                  </from>
                  <to>
                    <xdr:col>3</xdr:col>
                    <xdr:colOff>914400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84" name="Check Box 94">
              <controlPr defaultSize="0" autoFill="0" autoLine="0" autoPict="0">
                <anchor moveWithCells="1">
                  <from>
                    <xdr:col>3</xdr:col>
                    <xdr:colOff>990600</xdr:colOff>
                    <xdr:row>19</xdr:row>
                    <xdr:rowOff>0</xdr:rowOff>
                  </from>
                  <to>
                    <xdr:col>3</xdr:col>
                    <xdr:colOff>990600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85" name="Check Box 95">
              <controlPr defaultSize="0" autoFill="0" autoLine="0" autoPict="0">
                <anchor moveWithCells="1">
                  <from>
                    <xdr:col>3</xdr:col>
                    <xdr:colOff>914400</xdr:colOff>
                    <xdr:row>19</xdr:row>
                    <xdr:rowOff>0</xdr:rowOff>
                  </from>
                  <to>
                    <xdr:col>3</xdr:col>
                    <xdr:colOff>914400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86" name="Check Box 96">
              <controlPr defaultSize="0" autoFill="0" autoLine="0" autoPict="0">
                <anchor moveWithCells="1">
                  <from>
                    <xdr:col>3</xdr:col>
                    <xdr:colOff>914400</xdr:colOff>
                    <xdr:row>19</xdr:row>
                    <xdr:rowOff>0</xdr:rowOff>
                  </from>
                  <to>
                    <xdr:col>4</xdr:col>
                    <xdr:colOff>66675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87" name="Check Box 97">
              <controlPr defaultSize="0" autoFill="0" autoLine="0" autoPict="0">
                <anchor moveWithCells="1">
                  <from>
                    <xdr:col>3</xdr:col>
                    <xdr:colOff>990600</xdr:colOff>
                    <xdr:row>21</xdr:row>
                    <xdr:rowOff>0</xdr:rowOff>
                  </from>
                  <to>
                    <xdr:col>3</xdr:col>
                    <xdr:colOff>990600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88" name="Check Box 98">
              <controlPr defaultSize="0" autoFill="0" autoLine="0" autoPict="0">
                <anchor moveWithCells="1">
                  <from>
                    <xdr:col>3</xdr:col>
                    <xdr:colOff>990600</xdr:colOff>
                    <xdr:row>21</xdr:row>
                    <xdr:rowOff>0</xdr:rowOff>
                  </from>
                  <to>
                    <xdr:col>3</xdr:col>
                    <xdr:colOff>990600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89" name="Check Box 99">
              <controlPr defaultSize="0" autoFill="0" autoLine="0" autoPict="0">
                <anchor moveWithCells="1">
                  <from>
                    <xdr:col>3</xdr:col>
                    <xdr:colOff>38100</xdr:colOff>
                    <xdr:row>21</xdr:row>
                    <xdr:rowOff>0</xdr:rowOff>
                  </from>
                  <to>
                    <xdr:col>3</xdr:col>
                    <xdr:colOff>295275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90" name="Check Box 100">
              <controlPr defaultSize="0" autoFill="0" autoLine="0" autoPict="0">
                <anchor moveWithCells="1">
                  <from>
                    <xdr:col>3</xdr:col>
                    <xdr:colOff>914400</xdr:colOff>
                    <xdr:row>21</xdr:row>
                    <xdr:rowOff>0</xdr:rowOff>
                  </from>
                  <to>
                    <xdr:col>3</xdr:col>
                    <xdr:colOff>914400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91" name="Check Box 101">
              <controlPr defaultSize="0" autoFill="0" autoLine="0" autoPict="0">
                <anchor moveWithCells="1">
                  <from>
                    <xdr:col>3</xdr:col>
                    <xdr:colOff>990600</xdr:colOff>
                    <xdr:row>21</xdr:row>
                    <xdr:rowOff>0</xdr:rowOff>
                  </from>
                  <to>
                    <xdr:col>3</xdr:col>
                    <xdr:colOff>990600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92" name="Check Box 102">
              <controlPr defaultSize="0" autoFill="0" autoLine="0" autoPict="0">
                <anchor moveWithCells="1">
                  <from>
                    <xdr:col>3</xdr:col>
                    <xdr:colOff>914400</xdr:colOff>
                    <xdr:row>21</xdr:row>
                    <xdr:rowOff>0</xdr:rowOff>
                  </from>
                  <to>
                    <xdr:col>3</xdr:col>
                    <xdr:colOff>914400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93" name="Check Box 103">
              <controlPr defaultSize="0" autoFill="0" autoLine="0" autoPict="0">
                <anchor moveWithCells="1">
                  <from>
                    <xdr:col>3</xdr:col>
                    <xdr:colOff>914400</xdr:colOff>
                    <xdr:row>21</xdr:row>
                    <xdr:rowOff>0</xdr:rowOff>
                  </from>
                  <to>
                    <xdr:col>4</xdr:col>
                    <xdr:colOff>66675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94" name="Check Box 104">
              <controlPr defaultSize="0" autoFill="0" autoLine="0" autoPict="0">
                <anchor moveWithCells="1">
                  <from>
                    <xdr:col>14</xdr:col>
                    <xdr:colOff>57150</xdr:colOff>
                    <xdr:row>57</xdr:row>
                    <xdr:rowOff>28575</xdr:rowOff>
                  </from>
                  <to>
                    <xdr:col>14</xdr:col>
                    <xdr:colOff>314325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95" name="Check Box 114">
              <controlPr defaultSize="0" autoFill="0" autoLine="0" autoPict="0">
                <anchor moveWithCells="1">
                  <from>
                    <xdr:col>3</xdr:col>
                    <xdr:colOff>990600</xdr:colOff>
                    <xdr:row>23</xdr:row>
                    <xdr:rowOff>0</xdr:rowOff>
                  </from>
                  <to>
                    <xdr:col>3</xdr:col>
                    <xdr:colOff>990600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96" name="Check Box 115">
              <controlPr defaultSize="0" autoFill="0" autoLine="0" autoPict="0">
                <anchor moveWithCells="1">
                  <from>
                    <xdr:col>3</xdr:col>
                    <xdr:colOff>914400</xdr:colOff>
                    <xdr:row>23</xdr:row>
                    <xdr:rowOff>0</xdr:rowOff>
                  </from>
                  <to>
                    <xdr:col>3</xdr:col>
                    <xdr:colOff>914400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97" name="Check Box 116">
              <controlPr defaultSize="0" autoFill="0" autoLine="0" autoPict="0">
                <anchor moveWithCells="1">
                  <from>
                    <xdr:col>3</xdr:col>
                    <xdr:colOff>990600</xdr:colOff>
                    <xdr:row>23</xdr:row>
                    <xdr:rowOff>0</xdr:rowOff>
                  </from>
                  <to>
                    <xdr:col>3</xdr:col>
                    <xdr:colOff>990600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" r:id="rId98" name="Check Box 117">
              <controlPr defaultSize="0" autoFill="0" autoLine="0" autoPict="0">
                <anchor moveWithCells="1">
                  <from>
                    <xdr:col>3</xdr:col>
                    <xdr:colOff>990600</xdr:colOff>
                    <xdr:row>23</xdr:row>
                    <xdr:rowOff>0</xdr:rowOff>
                  </from>
                  <to>
                    <xdr:col>3</xdr:col>
                    <xdr:colOff>990600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99" name="Check Box 118">
              <controlPr defaultSize="0" autoFill="0" autoLine="0" autoPict="0">
                <anchor moveWithCells="1">
                  <from>
                    <xdr:col>3</xdr:col>
                    <xdr:colOff>38100</xdr:colOff>
                    <xdr:row>23</xdr:row>
                    <xdr:rowOff>0</xdr:rowOff>
                  </from>
                  <to>
                    <xdr:col>3</xdr:col>
                    <xdr:colOff>295275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" r:id="rId100" name="Check Box 119">
              <controlPr defaultSize="0" autoFill="0" autoLine="0" autoPict="0">
                <anchor moveWithCells="1">
                  <from>
                    <xdr:col>3</xdr:col>
                    <xdr:colOff>914400</xdr:colOff>
                    <xdr:row>23</xdr:row>
                    <xdr:rowOff>0</xdr:rowOff>
                  </from>
                  <to>
                    <xdr:col>3</xdr:col>
                    <xdr:colOff>914400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6" r:id="rId101" name="Check Box 120">
              <controlPr defaultSize="0" autoFill="0" autoLine="0" autoPict="0">
                <anchor moveWithCells="1">
                  <from>
                    <xdr:col>3</xdr:col>
                    <xdr:colOff>990600</xdr:colOff>
                    <xdr:row>23</xdr:row>
                    <xdr:rowOff>0</xdr:rowOff>
                  </from>
                  <to>
                    <xdr:col>3</xdr:col>
                    <xdr:colOff>990600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7" r:id="rId102" name="Check Box 121">
              <controlPr defaultSize="0" autoFill="0" autoLine="0" autoPict="0">
                <anchor moveWithCells="1">
                  <from>
                    <xdr:col>3</xdr:col>
                    <xdr:colOff>914400</xdr:colOff>
                    <xdr:row>23</xdr:row>
                    <xdr:rowOff>0</xdr:rowOff>
                  </from>
                  <to>
                    <xdr:col>3</xdr:col>
                    <xdr:colOff>914400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8" r:id="rId103" name="Check Box 122">
              <controlPr defaultSize="0" autoFill="0" autoLine="0" autoPict="0">
                <anchor moveWithCells="1">
                  <from>
                    <xdr:col>3</xdr:col>
                    <xdr:colOff>914400</xdr:colOff>
                    <xdr:row>23</xdr:row>
                    <xdr:rowOff>0</xdr:rowOff>
                  </from>
                  <to>
                    <xdr:col>4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0" r:id="rId104" name="Check Box 124">
              <controlPr defaultSize="0" autoFill="0" autoLine="0" autoPict="0">
                <anchor moveWithCells="1">
                  <from>
                    <xdr:col>3</xdr:col>
                    <xdr:colOff>914400</xdr:colOff>
                    <xdr:row>23</xdr:row>
                    <xdr:rowOff>0</xdr:rowOff>
                  </from>
                  <to>
                    <xdr:col>4</xdr:col>
                    <xdr:colOff>66675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1" r:id="rId105" name="Check Box 125">
              <controlPr defaultSize="0" autoFill="0" autoLine="0" autoPict="0">
                <anchor moveWithCells="1">
                  <from>
                    <xdr:col>9</xdr:col>
                    <xdr:colOff>38100</xdr:colOff>
                    <xdr:row>23</xdr:row>
                    <xdr:rowOff>0</xdr:rowOff>
                  </from>
                  <to>
                    <xdr:col>9</xdr:col>
                    <xdr:colOff>295275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2" r:id="rId106" name="Check Box 126">
              <controlPr defaultSize="0" autoFill="0" autoLine="0" autoPict="0">
                <anchor moveWithCells="1">
                  <from>
                    <xdr:col>9</xdr:col>
                    <xdr:colOff>914400</xdr:colOff>
                    <xdr:row>22</xdr:row>
                    <xdr:rowOff>28575</xdr:rowOff>
                  </from>
                  <to>
                    <xdr:col>10</xdr:col>
                    <xdr:colOff>28575</xdr:colOff>
                    <xdr:row>23</xdr:row>
                    <xdr:rowOff>171450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C5469433-1A65-4A5C-904A-634977A8BF23}">
            <xm:f>'Allgemeine Angaben'!$D$7&lt;&gt;"tst"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D68:L68</xm:sqref>
        </x14:conditionalFormatting>
        <x14:conditionalFormatting xmlns:xm="http://schemas.microsoft.com/office/excel/2006/main">
          <x14:cfRule type="expression" priority="10" id="{4779AAF7-F16A-445E-9C91-918C1D745575}">
            <xm:f>'Allgemeine Angaben'!$D$7="tst"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</border>
            </x14:dxf>
          </x14:cfRule>
          <xm:sqref>D70:L70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AE105"/>
  <sheetViews>
    <sheetView showGridLines="0" workbookViewId="0">
      <pane ySplit="4" topLeftCell="A5" activePane="bottomLeft" state="frozen"/>
      <selection pane="bottomLeft" activeCell="A3" sqref="A3:M3"/>
    </sheetView>
  </sheetViews>
  <sheetFormatPr baseColWidth="10" defaultRowHeight="14.25"/>
  <cols>
    <col min="1" max="1" width="3.625" style="4" customWidth="1"/>
    <col min="2" max="4" width="11" style="4"/>
    <col min="5" max="5" width="7.75" style="4" customWidth="1"/>
    <col min="6" max="6" width="12.625" style="4" customWidth="1"/>
    <col min="7" max="7" width="1" style="4" customWidth="1"/>
    <col min="8" max="8" width="5.875" style="4" customWidth="1"/>
    <col min="9" max="9" width="1.875" style="4" customWidth="1"/>
    <col min="10" max="10" width="8.625" style="4" customWidth="1"/>
    <col min="11" max="11" width="6.375" style="4" customWidth="1"/>
    <col min="12" max="12" width="8.625" style="4" customWidth="1"/>
    <col min="13" max="13" width="3.625" style="4" customWidth="1"/>
    <col min="14" max="16" width="10.625" style="4" hidden="1" customWidth="1"/>
    <col min="17" max="17" width="16.25" style="4" hidden="1" customWidth="1"/>
    <col min="18" max="18" width="7.125" style="4" hidden="1" customWidth="1"/>
    <col min="19" max="19" width="11.875" style="4" hidden="1" customWidth="1"/>
    <col min="20" max="20" width="9.25" style="4" hidden="1" customWidth="1"/>
    <col min="21" max="22" width="7.125" style="4" hidden="1" customWidth="1"/>
    <col min="23" max="29" width="11" style="4" hidden="1" customWidth="1"/>
    <col min="30" max="16384" width="11" style="4"/>
  </cols>
  <sheetData>
    <row r="1" spans="1:31" ht="15" customHeight="1">
      <c r="A1" s="1334" t="str">
        <f>'Allgemeine Angaben'!A1:N1</f>
        <v>Aufforderung zum Abschluss einer Pflegesatzvereinbarung gemäß §§ 84, 85 SGB XI</v>
      </c>
      <c r="B1" s="1335"/>
      <c r="C1" s="1335"/>
      <c r="D1" s="1335"/>
      <c r="E1" s="1335"/>
      <c r="F1" s="1335"/>
      <c r="G1" s="1335"/>
      <c r="H1" s="1428"/>
      <c r="I1" s="1428"/>
      <c r="J1" s="1428"/>
      <c r="K1" s="1428"/>
      <c r="L1" s="1428"/>
      <c r="M1" s="1429"/>
      <c r="N1" s="551" t="s">
        <v>348</v>
      </c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389"/>
      <c r="Z1" s="389"/>
      <c r="AA1" s="389"/>
      <c r="AB1" s="389"/>
      <c r="AC1" s="389"/>
    </row>
    <row r="2" spans="1:31" ht="19.5" customHeight="1">
      <c r="A2" s="1337" t="s">
        <v>116</v>
      </c>
      <c r="B2" s="1338"/>
      <c r="C2" s="1338"/>
      <c r="D2" s="1338"/>
      <c r="E2" s="1338"/>
      <c r="F2" s="1338"/>
      <c r="G2" s="1338"/>
      <c r="H2" s="1430"/>
      <c r="I2" s="1430"/>
      <c r="J2" s="1430"/>
      <c r="K2" s="1430"/>
      <c r="L2" s="1430"/>
      <c r="M2" s="1431"/>
      <c r="N2" s="872" t="s">
        <v>475</v>
      </c>
      <c r="O2" s="270"/>
      <c r="P2" s="999">
        <v>43606</v>
      </c>
      <c r="Q2" s="1052">
        <v>43620</v>
      </c>
      <c r="R2" s="270"/>
      <c r="S2" s="1088">
        <v>43622</v>
      </c>
      <c r="T2" s="1187">
        <v>43691</v>
      </c>
      <c r="U2" s="270"/>
      <c r="V2" s="1311" t="s">
        <v>815</v>
      </c>
      <c r="W2" s="270"/>
      <c r="X2" s="270"/>
      <c r="Y2" s="389"/>
      <c r="Z2" s="389"/>
      <c r="AA2" s="389"/>
      <c r="AB2" s="389"/>
      <c r="AC2" s="389"/>
    </row>
    <row r="3" spans="1:31" ht="15" customHeight="1">
      <c r="A3" s="1363" t="str">
        <f>'Allgemeine Angaben'!A3:N3</f>
        <v/>
      </c>
      <c r="B3" s="1364"/>
      <c r="C3" s="1364"/>
      <c r="D3" s="1364"/>
      <c r="E3" s="1364"/>
      <c r="F3" s="1364"/>
      <c r="G3" s="1364"/>
      <c r="H3" s="1432"/>
      <c r="I3" s="1430"/>
      <c r="J3" s="1430"/>
      <c r="K3" s="1430"/>
      <c r="L3" s="1430"/>
      <c r="M3" s="1431"/>
      <c r="N3" s="873" t="s">
        <v>492</v>
      </c>
      <c r="O3" s="270"/>
      <c r="P3" s="270"/>
      <c r="Q3" s="877" t="s">
        <v>491</v>
      </c>
      <c r="R3" s="270"/>
      <c r="S3" s="270"/>
      <c r="T3" s="270"/>
      <c r="U3" s="270"/>
      <c r="V3" s="270"/>
      <c r="W3" s="270"/>
      <c r="X3" s="270"/>
      <c r="Y3" s="389"/>
      <c r="Z3" s="389"/>
      <c r="AA3" s="389"/>
      <c r="AB3" s="389"/>
      <c r="AC3" s="389"/>
    </row>
    <row r="4" spans="1:31" ht="15" customHeight="1">
      <c r="A4" s="1032"/>
      <c r="B4" s="1033" t="str">
        <f>'Allgemeine Angaben'!B4</f>
        <v/>
      </c>
      <c r="C4" s="1033"/>
      <c r="D4" s="1033"/>
      <c r="E4" s="1033"/>
      <c r="F4" s="1033"/>
      <c r="G4" s="1033"/>
      <c r="H4" s="1033"/>
      <c r="I4" s="1033" t="str">
        <f>'Allgemeine Angaben'!K4</f>
        <v>Antrag vom:</v>
      </c>
      <c r="J4" s="1033"/>
      <c r="K4" s="1480">
        <f>'Allgemeine Angaben'!L4</f>
        <v>0</v>
      </c>
      <c r="L4" s="1480"/>
      <c r="M4" s="1034"/>
      <c r="N4" s="874" t="s">
        <v>489</v>
      </c>
      <c r="O4" s="270"/>
      <c r="P4" s="270"/>
      <c r="Q4" s="546"/>
      <c r="R4" s="270"/>
      <c r="S4" s="270"/>
      <c r="T4" s="270"/>
      <c r="U4" s="270"/>
      <c r="V4" s="270"/>
      <c r="W4" s="270"/>
      <c r="X4" s="270"/>
      <c r="Y4" s="389"/>
      <c r="Z4" s="389"/>
      <c r="AA4" s="389"/>
      <c r="AB4" s="389"/>
      <c r="AC4" s="389"/>
    </row>
    <row r="5" spans="1:31" ht="14.25" customHeight="1">
      <c r="A5" s="3"/>
      <c r="B5" s="9"/>
      <c r="C5" s="9"/>
      <c r="D5" s="9"/>
      <c r="E5" s="9"/>
      <c r="F5" s="9"/>
      <c r="G5" s="9"/>
      <c r="H5" s="9"/>
      <c r="I5" s="9"/>
      <c r="J5" s="9"/>
      <c r="K5" s="9"/>
      <c r="L5" s="491"/>
      <c r="M5" s="5"/>
      <c r="N5" s="875" t="s">
        <v>496</v>
      </c>
      <c r="O5" s="270"/>
      <c r="P5" s="270"/>
      <c r="Q5" s="873"/>
      <c r="R5" s="270"/>
      <c r="S5" s="270"/>
      <c r="T5" s="270"/>
      <c r="U5" s="270"/>
      <c r="V5" s="270"/>
      <c r="W5" s="270"/>
      <c r="X5" s="270"/>
      <c r="Y5" s="389"/>
      <c r="Z5" s="389"/>
      <c r="AA5" s="389"/>
      <c r="AB5" s="389"/>
      <c r="AC5" s="389"/>
    </row>
    <row r="6" spans="1:31" s="28" customFormat="1" ht="12.75">
      <c r="A6" s="54"/>
      <c r="B6" s="17" t="s">
        <v>117</v>
      </c>
      <c r="C6" s="12"/>
      <c r="D6" s="12"/>
      <c r="E6" s="12"/>
      <c r="F6" s="12"/>
      <c r="G6" s="12"/>
      <c r="H6" s="544" t="s">
        <v>118</v>
      </c>
      <c r="I6" s="12"/>
      <c r="J6" s="19"/>
      <c r="K6" s="545"/>
      <c r="L6" s="1025" t="s">
        <v>533</v>
      </c>
      <c r="M6" s="61"/>
      <c r="N6" s="876" t="s">
        <v>509</v>
      </c>
      <c r="O6" s="265"/>
      <c r="P6" s="265"/>
      <c r="Q6" s="877"/>
      <c r="R6" s="265"/>
      <c r="S6" s="265"/>
      <c r="T6" s="265"/>
      <c r="U6" s="265"/>
      <c r="V6" s="265"/>
      <c r="W6" s="265"/>
      <c r="X6" s="265"/>
      <c r="Y6" s="400"/>
      <c r="Z6" s="400"/>
      <c r="AA6" s="400"/>
      <c r="AB6" s="400"/>
      <c r="AC6" s="400"/>
    </row>
    <row r="7" spans="1:31" s="28" customFormat="1" ht="12.75">
      <c r="A7" s="54"/>
      <c r="B7" s="17"/>
      <c r="C7" s="12"/>
      <c r="D7" s="12"/>
      <c r="E7" s="12"/>
      <c r="F7" s="12"/>
      <c r="G7" s="12"/>
      <c r="H7" s="218"/>
      <c r="I7" s="12"/>
      <c r="J7" s="12"/>
      <c r="K7" s="12"/>
      <c r="L7" s="89"/>
      <c r="M7" s="61"/>
      <c r="N7" s="881"/>
      <c r="O7" s="882" t="s">
        <v>345</v>
      </c>
      <c r="P7" s="883"/>
      <c r="Q7" s="876" t="s">
        <v>493</v>
      </c>
      <c r="R7" s="265"/>
      <c r="S7" s="265"/>
      <c r="T7" s="265"/>
      <c r="U7" s="265"/>
      <c r="V7" s="265"/>
      <c r="W7" s="265"/>
      <c r="X7" s="265"/>
      <c r="Y7" s="400"/>
      <c r="Z7" s="400"/>
      <c r="AA7" s="400"/>
      <c r="AB7" s="400"/>
      <c r="AC7" s="400"/>
    </row>
    <row r="8" spans="1:31" s="28" customFormat="1" ht="4.5" customHeight="1" thickBot="1">
      <c r="A8" s="54"/>
      <c r="B8" s="145"/>
      <c r="C8" s="145"/>
      <c r="D8" s="145"/>
      <c r="E8" s="156"/>
      <c r="F8" s="228"/>
      <c r="G8" s="12"/>
      <c r="H8" s="229"/>
      <c r="I8" s="230"/>
      <c r="J8" s="210"/>
      <c r="K8" s="12"/>
      <c r="L8" s="1026"/>
      <c r="M8" s="61"/>
      <c r="N8" s="881"/>
      <c r="O8" s="884"/>
      <c r="P8" s="884"/>
      <c r="Q8" s="549"/>
      <c r="R8" s="548"/>
      <c r="S8" s="265"/>
      <c r="T8" s="550"/>
      <c r="U8" s="265"/>
      <c r="V8" s="265"/>
      <c r="W8" s="265"/>
      <c r="X8" s="265"/>
      <c r="Y8" s="400"/>
      <c r="Z8" s="400"/>
      <c r="AA8" s="400"/>
      <c r="AB8" s="400"/>
      <c r="AC8" s="400"/>
    </row>
    <row r="9" spans="1:31" s="28" customFormat="1" ht="12.75">
      <c r="A9" s="54"/>
      <c r="B9" s="774" t="s">
        <v>449</v>
      </c>
      <c r="C9" s="231"/>
      <c r="D9" s="231"/>
      <c r="E9" s="231"/>
      <c r="F9" s="232" t="s">
        <v>119</v>
      </c>
      <c r="G9" s="233"/>
      <c r="H9" s="229">
        <v>1</v>
      </c>
      <c r="I9" s="230" t="s">
        <v>120</v>
      </c>
      <c r="J9" s="234"/>
      <c r="K9" s="580" t="str">
        <f>IF(L9="","","1:")</f>
        <v>1:</v>
      </c>
      <c r="L9" s="579" t="b">
        <f>IF(O9="x",T43,"")</f>
        <v>0</v>
      </c>
      <c r="M9" s="61"/>
      <c r="N9" s="885">
        <v>1</v>
      </c>
      <c r="O9" s="585" t="str">
        <f>IF(OR(Belegung!E26=0,Belegung!E26=""),"x","")</f>
        <v>x</v>
      </c>
      <c r="P9" s="886"/>
      <c r="Q9" s="875" t="s">
        <v>490</v>
      </c>
      <c r="R9" s="811"/>
      <c r="S9" s="811"/>
      <c r="T9" s="811"/>
      <c r="U9" s="811"/>
      <c r="V9" s="811"/>
      <c r="W9" s="265"/>
      <c r="X9" s="265"/>
      <c r="Y9" s="400"/>
      <c r="Z9" s="400"/>
      <c r="AA9" s="400"/>
      <c r="AB9" s="400"/>
      <c r="AC9" s="400"/>
    </row>
    <row r="10" spans="1:31" s="28" customFormat="1" ht="12.75" customHeight="1">
      <c r="A10" s="54"/>
      <c r="B10" s="1246" t="str">
        <f>IF(J9="","",IF(J9&lt;R18,"geforderte PR für Pflegegrad 1 liegt außerhalb der Rahmenvertragsempfehlung, bitte begründen",IF(J9&gt;R19,"geforderte PR für Pflegegrad 1 liegt außerhalb der Rahmenvertragsempfehlung, bitte begründen","")))</f>
        <v/>
      </c>
      <c r="C10" s="156"/>
      <c r="D10" s="156"/>
      <c r="E10" s="156"/>
      <c r="F10" s="228"/>
      <c r="G10" s="61"/>
      <c r="H10" s="229"/>
      <c r="I10" s="230"/>
      <c r="J10" s="210"/>
      <c r="K10" s="580" t="str">
        <f t="shared" ref="K10:K17" si="0">IF(L10="","","1:")</f>
        <v/>
      </c>
      <c r="L10" s="579"/>
      <c r="M10" s="61"/>
      <c r="N10" s="885"/>
      <c r="O10" s="586"/>
      <c r="P10" s="886"/>
      <c r="Q10" s="549"/>
      <c r="R10" s="968"/>
      <c r="S10" s="265"/>
      <c r="T10" s="550"/>
      <c r="U10" s="265"/>
      <c r="V10" s="265"/>
      <c r="W10" s="265"/>
      <c r="X10" s="265"/>
      <c r="Y10" s="400"/>
      <c r="Z10" s="400"/>
      <c r="AA10" s="400"/>
      <c r="AB10" s="400"/>
      <c r="AC10" s="400"/>
    </row>
    <row r="11" spans="1:31" s="28" customFormat="1" ht="12.75">
      <c r="A11" s="54"/>
      <c r="B11" s="54"/>
      <c r="C11" s="226"/>
      <c r="D11" s="227"/>
      <c r="E11" s="156"/>
      <c r="F11" s="232" t="s">
        <v>121</v>
      </c>
      <c r="G11" s="233"/>
      <c r="H11" s="229">
        <v>1</v>
      </c>
      <c r="I11" s="230" t="s">
        <v>120</v>
      </c>
      <c r="J11" s="234"/>
      <c r="K11" s="580" t="str">
        <f t="shared" si="0"/>
        <v>1:</v>
      </c>
      <c r="L11" s="579" t="b">
        <f>IF(O11="x",T44,"")</f>
        <v>0</v>
      </c>
      <c r="M11" s="61"/>
      <c r="N11" s="885">
        <v>2</v>
      </c>
      <c r="O11" s="586" t="str">
        <f>IF(OR(Belegung!E27=0,Belegung!E27=""),"x","")</f>
        <v>x</v>
      </c>
      <c r="P11" s="886"/>
      <c r="Q11" s="990" t="s">
        <v>534</v>
      </c>
      <c r="R11" s="969"/>
      <c r="S11" s="970"/>
      <c r="T11" s="969"/>
      <c r="U11" s="970"/>
      <c r="V11" s="970"/>
      <c r="W11" s="971"/>
      <c r="X11" s="265"/>
      <c r="Y11" s="400"/>
      <c r="Z11" s="400"/>
      <c r="AA11" s="400"/>
      <c r="AB11" s="400"/>
      <c r="AC11" s="400"/>
    </row>
    <row r="12" spans="1:31" s="28" customFormat="1" ht="12.75" customHeight="1">
      <c r="A12" s="54"/>
      <c r="B12" s="1246" t="str">
        <f>IF(J11="","",IF(J11&lt;S18,"geforderte PR für Pflegegrad 2 liegt außerhalb der Rahmenvertragsempfehlung, bitte begründen",IF(J11&gt;S19,"geforderte PR für Pflegegrad 2 liegt außerhalb der Rahmenvertragsempfehlung, bitte begründen","")))</f>
        <v/>
      </c>
      <c r="C12" s="145"/>
      <c r="D12" s="145"/>
      <c r="E12" s="156"/>
      <c r="F12" s="228"/>
      <c r="G12" s="61"/>
      <c r="H12" s="229"/>
      <c r="I12" s="230"/>
      <c r="J12" s="210"/>
      <c r="K12" s="580" t="str">
        <f t="shared" si="0"/>
        <v/>
      </c>
      <c r="L12" s="579"/>
      <c r="M12" s="61"/>
      <c r="N12" s="885"/>
      <c r="O12" s="586"/>
      <c r="P12" s="886"/>
      <c r="Q12" s="990" t="s">
        <v>535</v>
      </c>
      <c r="R12" s="968"/>
      <c r="S12" s="265"/>
      <c r="T12" s="550"/>
      <c r="U12" s="265"/>
      <c r="V12" s="265"/>
      <c r="W12" s="265"/>
      <c r="X12" s="265"/>
      <c r="Y12" s="400"/>
      <c r="Z12" s="400"/>
      <c r="AA12" s="400"/>
      <c r="AB12" s="400"/>
      <c r="AC12" s="400"/>
    </row>
    <row r="13" spans="1:31" s="28" customFormat="1" ht="12.75">
      <c r="A13" s="54"/>
      <c r="B13" s="143"/>
      <c r="C13" s="226"/>
      <c r="D13" s="227"/>
      <c r="E13" s="156"/>
      <c r="F13" s="232" t="s">
        <v>122</v>
      </c>
      <c r="G13" s="233"/>
      <c r="H13" s="229">
        <v>1</v>
      </c>
      <c r="I13" s="230" t="s">
        <v>120</v>
      </c>
      <c r="J13" s="234"/>
      <c r="K13" s="580" t="str">
        <f t="shared" si="0"/>
        <v>1:</v>
      </c>
      <c r="L13" s="579" t="b">
        <f>IF(O13="x",T45,"")</f>
        <v>0</v>
      </c>
      <c r="M13" s="61"/>
      <c r="N13" s="885">
        <v>3</v>
      </c>
      <c r="O13" s="586" t="str">
        <f>IF(OR(Belegung!E28=0,Belegung!E28=""),"x","")</f>
        <v>x</v>
      </c>
      <c r="P13" s="886"/>
      <c r="Q13" s="972"/>
      <c r="R13" s="968"/>
      <c r="S13" s="265"/>
      <c r="T13" s="265"/>
      <c r="U13" s="265"/>
      <c r="V13" s="265"/>
      <c r="W13" s="971"/>
      <c r="X13" s="265"/>
      <c r="Y13" s="400"/>
      <c r="Z13" s="400"/>
      <c r="AA13" s="400"/>
      <c r="AB13" s="400"/>
      <c r="AC13" s="400"/>
    </row>
    <row r="14" spans="1:31" s="28" customFormat="1" ht="12.75" customHeight="1">
      <c r="A14" s="54"/>
      <c r="B14" s="1247" t="str">
        <f>IF(J13="","",IF(J13&lt;T18,"geforderte PR für Pflegegrad 3 liegt außerhalb der Rahmenvertragsempfehlung, bitte begründen",IF(J13&gt;T19,"geforderte PR für Pflegegrad 3 liegt außerhalb der Rahmenvertragsempfehlung, bitte begründen","")))</f>
        <v/>
      </c>
      <c r="C14" s="145"/>
      <c r="D14" s="145"/>
      <c r="E14" s="156"/>
      <c r="F14" s="228"/>
      <c r="G14" s="61"/>
      <c r="H14" s="229"/>
      <c r="I14" s="230"/>
      <c r="J14" s="210"/>
      <c r="K14" s="580" t="str">
        <f t="shared" si="0"/>
        <v/>
      </c>
      <c r="L14" s="1027"/>
      <c r="M14" s="61"/>
      <c r="N14" s="887"/>
      <c r="O14" s="586"/>
      <c r="P14" s="886"/>
      <c r="Q14" s="1053" t="s">
        <v>587</v>
      </c>
      <c r="R14" s="968"/>
      <c r="S14" s="973"/>
      <c r="T14" s="550"/>
      <c r="U14" s="265"/>
      <c r="V14" s="265"/>
      <c r="W14" s="265"/>
      <c r="X14" s="265"/>
      <c r="Y14" s="400"/>
      <c r="Z14" s="400"/>
      <c r="AA14" s="400"/>
      <c r="AB14" s="400"/>
      <c r="AC14" s="400"/>
    </row>
    <row r="15" spans="1:31" s="28" customFormat="1" ht="12.75">
      <c r="A15" s="54"/>
      <c r="B15" s="143"/>
      <c r="C15" s="226"/>
      <c r="D15" s="227"/>
      <c r="E15" s="156"/>
      <c r="F15" s="232" t="s">
        <v>123</v>
      </c>
      <c r="G15" s="233"/>
      <c r="H15" s="229">
        <v>1</v>
      </c>
      <c r="I15" s="230" t="s">
        <v>120</v>
      </c>
      <c r="J15" s="234"/>
      <c r="K15" s="580" t="str">
        <f t="shared" si="0"/>
        <v>1:</v>
      </c>
      <c r="L15" s="579" t="b">
        <f>IF(O15="x",T46,"")</f>
        <v>0</v>
      </c>
      <c r="M15" s="61"/>
      <c r="N15" s="888">
        <v>4</v>
      </c>
      <c r="O15" s="586" t="str">
        <f>IF(OR(Belegung!E29=0,Belegung!E29=""),"x","")</f>
        <v>x</v>
      </c>
      <c r="P15" s="886"/>
      <c r="Q15" s="550"/>
      <c r="R15" s="1482"/>
      <c r="S15" s="1482"/>
      <c r="T15" s="1482"/>
      <c r="U15" s="1482"/>
      <c r="V15" s="1482"/>
      <c r="W15" s="265"/>
      <c r="X15" s="265"/>
      <c r="Y15" s="400"/>
      <c r="Z15" s="400"/>
      <c r="AA15" s="400"/>
      <c r="AB15" s="400"/>
      <c r="AC15" s="400"/>
    </row>
    <row r="16" spans="1:31" s="28" customFormat="1" ht="12.75" customHeight="1" thickBot="1">
      <c r="A16" s="54"/>
      <c r="B16" s="1246" t="str">
        <f>IF(J15="","",IF(J15&lt;U18,"geforderte PR für Pflegegrad 4 liegt außerhalb der Rahmenvertragsempfehlung, bitte begründen",IF(J15&gt;U19,"geforderte PR für Pflegegrad 4 liegt außerhalb der Rahmenvertragsempfehlung, bitte begründen","")))</f>
        <v/>
      </c>
      <c r="C16" s="145"/>
      <c r="D16" s="145"/>
      <c r="E16" s="156"/>
      <c r="F16" s="228"/>
      <c r="G16" s="61"/>
      <c r="H16" s="229"/>
      <c r="I16" s="230"/>
      <c r="J16" s="210"/>
      <c r="K16" s="580" t="str">
        <f t="shared" si="0"/>
        <v/>
      </c>
      <c r="L16" s="1027"/>
      <c r="M16" s="61"/>
      <c r="N16" s="888"/>
      <c r="O16" s="586"/>
      <c r="P16" s="886"/>
      <c r="Q16" s="898"/>
      <c r="R16" s="886"/>
      <c r="S16" s="903"/>
      <c r="T16" s="898"/>
      <c r="U16" s="883"/>
      <c r="V16" s="883"/>
      <c r="W16" s="883"/>
      <c r="X16" s="883"/>
      <c r="Y16" s="400"/>
      <c r="Z16" s="400"/>
      <c r="AA16" s="1171"/>
      <c r="AB16" s="400"/>
      <c r="AC16" s="400"/>
      <c r="AD16" s="778"/>
      <c r="AE16" s="554"/>
    </row>
    <row r="17" spans="1:31" s="28" customFormat="1" ht="14.25" customHeight="1" thickBot="1">
      <c r="A17" s="54"/>
      <c r="B17" s="143"/>
      <c r="C17" s="226"/>
      <c r="D17" s="227"/>
      <c r="E17" s="156"/>
      <c r="F17" s="1011" t="s">
        <v>124</v>
      </c>
      <c r="G17" s="233"/>
      <c r="H17" s="229">
        <v>1</v>
      </c>
      <c r="I17" s="230" t="s">
        <v>120</v>
      </c>
      <c r="J17" s="234"/>
      <c r="K17" s="580" t="str">
        <f t="shared" si="0"/>
        <v>1:</v>
      </c>
      <c r="L17" s="579" t="b">
        <f>IF(O17="x",T47,"")</f>
        <v>0</v>
      </c>
      <c r="M17" s="61"/>
      <c r="N17" s="888">
        <v>5</v>
      </c>
      <c r="O17" s="781" t="str">
        <f>IF(OR(Belegung!E30=0,Belegung!E30=""),"x","")</f>
        <v>x</v>
      </c>
      <c r="P17" s="886"/>
      <c r="Q17" s="898"/>
      <c r="R17" s="904" t="s">
        <v>340</v>
      </c>
      <c r="S17" s="904" t="s">
        <v>344</v>
      </c>
      <c r="T17" s="904" t="s">
        <v>343</v>
      </c>
      <c r="U17" s="904" t="s">
        <v>342</v>
      </c>
      <c r="V17" s="904" t="s">
        <v>341</v>
      </c>
      <c r="W17" s="883"/>
      <c r="X17" s="883"/>
      <c r="Y17" s="1172"/>
      <c r="Z17" s="1172"/>
      <c r="AA17" s="1172"/>
      <c r="AB17" s="1172"/>
      <c r="AC17" s="1172"/>
      <c r="AD17" s="554"/>
      <c r="AE17" s="554"/>
    </row>
    <row r="18" spans="1:31" s="28" customFormat="1" ht="14.25" customHeight="1" thickBot="1">
      <c r="A18" s="54"/>
      <c r="B18" s="1248" t="str">
        <f>IF(J17="","",IF(J17&lt;V18,"geforderte PR für Pflegegrad 5 liegt außerhalb der Rahmenvertragsempfehlung, bitte begründen",IF(J17&gt;V19,"geforderte PR für Pflegegrad 5 liegt außerhalb der Rahmenvertragsempfehlung, bitte begründen","")))</f>
        <v/>
      </c>
      <c r="C18" s="236"/>
      <c r="D18" s="237"/>
      <c r="E18" s="238"/>
      <c r="F18" s="773"/>
      <c r="G18" s="125"/>
      <c r="H18" s="229"/>
      <c r="I18" s="230"/>
      <c r="J18" s="210"/>
      <c r="K18" s="580"/>
      <c r="L18" s="579"/>
      <c r="M18" s="61"/>
      <c r="N18" s="888"/>
      <c r="O18" s="889"/>
      <c r="P18" s="886"/>
      <c r="Q18" s="899" t="s">
        <v>463</v>
      </c>
      <c r="R18" s="905">
        <v>7.6</v>
      </c>
      <c r="S18" s="905">
        <v>4.13</v>
      </c>
      <c r="T18" s="905">
        <v>2.66</v>
      </c>
      <c r="U18" s="905">
        <v>2</v>
      </c>
      <c r="V18" s="906">
        <v>1.85</v>
      </c>
      <c r="W18" s="883"/>
      <c r="X18" s="883"/>
      <c r="Y18" s="400"/>
      <c r="Z18" s="400"/>
      <c r="AA18" s="400"/>
      <c r="AB18" s="400"/>
      <c r="AC18" s="400"/>
      <c r="AD18" s="554"/>
      <c r="AE18" s="554"/>
    </row>
    <row r="19" spans="1:31" s="28" customFormat="1" ht="14.25" customHeight="1" thickBot="1">
      <c r="A19" s="54"/>
      <c r="B19" s="143" t="s">
        <v>438</v>
      </c>
      <c r="C19" s="145"/>
      <c r="D19" s="145"/>
      <c r="E19" s="156"/>
      <c r="F19" s="228"/>
      <c r="G19" s="61"/>
      <c r="H19" s="229"/>
      <c r="I19" s="230"/>
      <c r="J19" s="975">
        <f>Personalaufwendungen!H12</f>
        <v>0</v>
      </c>
      <c r="K19" s="89"/>
      <c r="L19" s="235">
        <f>Q62</f>
        <v>0.75</v>
      </c>
      <c r="M19" s="61"/>
      <c r="N19" s="890"/>
      <c r="O19" s="891" t="str">
        <f>IF(OR(Belegung!E19=0,Belegung!E19=""),"x","")</f>
        <v/>
      </c>
      <c r="P19" s="884"/>
      <c r="Q19" s="900" t="s">
        <v>464</v>
      </c>
      <c r="R19" s="907">
        <v>8.4</v>
      </c>
      <c r="S19" s="907">
        <v>4.57</v>
      </c>
      <c r="T19" s="907">
        <v>2.94</v>
      </c>
      <c r="U19" s="907">
        <v>2.21</v>
      </c>
      <c r="V19" s="908">
        <v>2.0499999999999998</v>
      </c>
      <c r="W19" s="883"/>
      <c r="X19" s="883"/>
      <c r="Y19" s="400"/>
      <c r="Z19" s="400"/>
      <c r="AA19" s="400"/>
      <c r="AB19" s="400"/>
      <c r="AC19" s="400"/>
      <c r="AD19" s="554"/>
      <c r="AE19" s="554"/>
    </row>
    <row r="20" spans="1:31" s="28" customFormat="1" ht="14.25" customHeight="1" thickBot="1">
      <c r="A20" s="54"/>
      <c r="B20" s="1248" t="str">
        <f>IF(J19=L19,"",IF(J19&lt;Q62,"Forderung VK PDL/stellv.PDL liegt außerhalb des Rahmenvertrages",IF(J19&gt;Q62,"Forderung VK PDL/stellv. PDL liegt außerhalb des Rahmenvertrages")))</f>
        <v>Forderung VK PDL/stellv.PDL liegt außerhalb des Rahmenvertrages</v>
      </c>
      <c r="C20" s="770"/>
      <c r="D20" s="770"/>
      <c r="E20" s="238"/>
      <c r="F20" s="771"/>
      <c r="G20" s="125"/>
      <c r="H20" s="229"/>
      <c r="I20" s="230"/>
      <c r="J20" s="977"/>
      <c r="K20" s="89"/>
      <c r="L20" s="978"/>
      <c r="M20" s="61"/>
      <c r="N20" s="890"/>
      <c r="O20" s="891"/>
      <c r="P20" s="884"/>
      <c r="Q20" s="900"/>
      <c r="R20" s="907"/>
      <c r="S20" s="907"/>
      <c r="T20" s="907"/>
      <c r="U20" s="907"/>
      <c r="V20" s="908"/>
      <c r="W20" s="883"/>
      <c r="X20" s="883"/>
      <c r="Y20" s="400"/>
      <c r="Z20" s="400"/>
      <c r="AA20" s="400"/>
      <c r="AB20" s="400"/>
      <c r="AC20" s="400"/>
      <c r="AD20" s="554"/>
      <c r="AE20" s="554"/>
    </row>
    <row r="21" spans="1:31" s="28" customFormat="1" ht="14.25" customHeight="1">
      <c r="A21" s="54"/>
      <c r="B21" s="1249">
        <f>F21*0.2/100</f>
        <v>0</v>
      </c>
      <c r="C21" s="12"/>
      <c r="D21" s="1028"/>
      <c r="E21" s="88" t="s">
        <v>514</v>
      </c>
      <c r="F21" s="1487">
        <f>Personalaufwendungen!H17-Personalaufwendungen!H12</f>
        <v>0</v>
      </c>
      <c r="G21" s="1488"/>
      <c r="H21" s="12"/>
      <c r="I21" s="108" t="s">
        <v>125</v>
      </c>
      <c r="J21" s="581">
        <f>IFERROR((Belegung!E26/J9)+(Belegung!E27/J11)+(Belegung!E28/J13)+(Belegung!E29/J15)+(Belegung!E30/J17),0)</f>
        <v>0</v>
      </c>
      <c r="K21" s="88"/>
      <c r="L21" s="89"/>
      <c r="M21" s="61"/>
      <c r="N21" s="892"/>
      <c r="O21" s="893"/>
      <c r="P21" s="883"/>
      <c r="Q21" s="900" t="s">
        <v>465</v>
      </c>
      <c r="R21" s="907">
        <v>8</v>
      </c>
      <c r="S21" s="907">
        <v>4.3499999999999996</v>
      </c>
      <c r="T21" s="907">
        <v>2.8</v>
      </c>
      <c r="U21" s="907">
        <v>2.1</v>
      </c>
      <c r="V21" s="908">
        <v>1.95</v>
      </c>
      <c r="W21" s="883"/>
      <c r="X21" s="883"/>
      <c r="Y21" s="400"/>
      <c r="Z21" s="400"/>
      <c r="AA21" s="400"/>
      <c r="AB21" s="400"/>
      <c r="AC21" s="400"/>
      <c r="AD21" s="554"/>
      <c r="AE21" s="554"/>
    </row>
    <row r="22" spans="1:31" s="28" customFormat="1" ht="15" customHeight="1">
      <c r="A22" s="54"/>
      <c r="B22" s="156"/>
      <c r="C22" s="156"/>
      <c r="D22" s="12"/>
      <c r="E22" s="156"/>
      <c r="F22" s="324" t="str">
        <f>IF(F21=J21,"",IF(AND(F21-B21&lt;=J21,(F21+B21&gt;=J21)),"","Personalrelationen bitte prüfen - es besteht keine Plausibilität"))</f>
        <v/>
      </c>
      <c r="G22" s="12"/>
      <c r="H22" s="12"/>
      <c r="I22" s="12"/>
      <c r="J22" s="210"/>
      <c r="K22" s="12"/>
      <c r="L22" s="12"/>
      <c r="M22" s="61"/>
      <c r="N22" s="894"/>
      <c r="O22" s="883"/>
      <c r="P22" s="883"/>
      <c r="Q22" s="901"/>
      <c r="R22" s="909"/>
      <c r="S22" s="910">
        <f>S21/R21-1</f>
        <v>-0.45625000000000004</v>
      </c>
      <c r="T22" s="910">
        <f>T21/S21-1</f>
        <v>-0.35632183908045978</v>
      </c>
      <c r="U22" s="910">
        <f>U21/T21-1</f>
        <v>-0.24999999999999989</v>
      </c>
      <c r="V22" s="911">
        <f>V21/U21-1</f>
        <v>-7.1428571428571508E-2</v>
      </c>
      <c r="W22" s="883"/>
      <c r="X22" s="883"/>
      <c r="Y22" s="400"/>
      <c r="Z22" s="400"/>
      <c r="AA22" s="400"/>
      <c r="AB22" s="400"/>
      <c r="AC22" s="400"/>
      <c r="AD22" s="554"/>
      <c r="AE22" s="554"/>
    </row>
    <row r="23" spans="1:31" s="28" customFormat="1" ht="14.25" customHeight="1" thickBot="1">
      <c r="A23" s="54"/>
      <c r="B23" s="239" t="s">
        <v>239</v>
      </c>
      <c r="C23" s="240"/>
      <c r="D23" s="240"/>
      <c r="E23" s="240"/>
      <c r="F23" s="241"/>
      <c r="G23" s="242"/>
      <c r="H23" s="229">
        <v>1</v>
      </c>
      <c r="I23" s="230" t="s">
        <v>120</v>
      </c>
      <c r="J23" s="234"/>
      <c r="K23" s="211" t="s">
        <v>126</v>
      </c>
      <c r="L23" s="243" t="str">
        <f>IF(Personalaufwendungen!H26&gt;0,'Allgemeine Angaben'!$L$44/Personalaufwendungen!H26,"")</f>
        <v/>
      </c>
      <c r="M23" s="61"/>
      <c r="N23" s="895"/>
      <c r="O23" s="883"/>
      <c r="P23" s="883"/>
      <c r="Q23" s="902"/>
      <c r="R23" s="912"/>
      <c r="S23" s="912"/>
      <c r="T23" s="912"/>
      <c r="U23" s="912"/>
      <c r="V23" s="912"/>
      <c r="W23" s="883"/>
      <c r="X23" s="883"/>
      <c r="Y23" s="400"/>
      <c r="Z23" s="1173"/>
      <c r="AA23" s="1173"/>
      <c r="AB23" s="1173"/>
      <c r="AC23" s="1173"/>
      <c r="AD23" s="554"/>
      <c r="AE23" s="554"/>
    </row>
    <row r="24" spans="1:31" s="28" customFormat="1" ht="12.75" customHeight="1">
      <c r="A24" s="54"/>
      <c r="B24" s="109" t="str">
        <f>IF(J23="","",IF($J$23&lt;$N$70,"geforderte PR Betreuung liegt außerhalb der Rahmenvertragsempfehlung, bitte begründen",IF($J$23&gt;$O$70,"geforderte PR Betreuung liegt außerhalb der Rahmenvertragsempfehlung, bitte begründen bzw. korrigieren","")))</f>
        <v/>
      </c>
      <c r="C24" s="109"/>
      <c r="D24" s="156"/>
      <c r="E24" s="156"/>
      <c r="F24" s="537"/>
      <c r="G24" s="12"/>
      <c r="H24" s="12"/>
      <c r="I24" s="12"/>
      <c r="J24" s="210"/>
      <c r="K24" s="772"/>
      <c r="L24" s="12"/>
      <c r="M24" s="61"/>
      <c r="N24" s="896"/>
      <c r="O24" s="883"/>
      <c r="P24" s="883"/>
      <c r="Q24" s="1483" t="s">
        <v>360</v>
      </c>
      <c r="R24" s="913">
        <v>125</v>
      </c>
      <c r="S24" s="913">
        <v>770</v>
      </c>
      <c r="T24" s="913">
        <v>1262</v>
      </c>
      <c r="U24" s="913">
        <v>1775</v>
      </c>
      <c r="V24" s="914">
        <v>2005</v>
      </c>
      <c r="W24" s="883"/>
      <c r="X24" s="883"/>
      <c r="Y24" s="1174"/>
      <c r="Z24" s="1174"/>
      <c r="AA24" s="1174"/>
      <c r="AB24" s="1174"/>
      <c r="AC24" s="822"/>
      <c r="AD24" s="554"/>
      <c r="AE24" s="554"/>
    </row>
    <row r="25" spans="1:31" s="28" customFormat="1" ht="12.75" customHeight="1">
      <c r="A25" s="54"/>
      <c r="B25" s="753"/>
      <c r="C25" s="753"/>
      <c r="D25" s="156"/>
      <c r="E25" s="156"/>
      <c r="F25" s="537"/>
      <c r="G25" s="12"/>
      <c r="H25" s="12"/>
      <c r="I25" s="12"/>
      <c r="J25" s="210"/>
      <c r="K25" s="12"/>
      <c r="L25" s="12"/>
      <c r="M25" s="61"/>
      <c r="N25" s="894"/>
      <c r="O25" s="883"/>
      <c r="P25" s="883"/>
      <c r="Q25" s="1484"/>
      <c r="R25" s="915"/>
      <c r="S25" s="915"/>
      <c r="T25" s="915"/>
      <c r="U25" s="915"/>
      <c r="V25" s="916"/>
      <c r="W25" s="883"/>
      <c r="X25" s="883"/>
      <c r="Y25" s="400"/>
      <c r="Z25" s="400"/>
      <c r="AA25" s="400"/>
      <c r="AB25" s="400"/>
      <c r="AC25" s="400"/>
      <c r="AD25" s="554"/>
      <c r="AE25" s="554"/>
    </row>
    <row r="26" spans="1:31" s="28" customFormat="1" ht="14.25" customHeight="1">
      <c r="A26" s="54"/>
      <c r="B26" s="249" t="s">
        <v>254</v>
      </c>
      <c r="C26" s="250"/>
      <c r="D26" s="250"/>
      <c r="E26" s="250"/>
      <c r="F26" s="250"/>
      <c r="G26" s="251"/>
      <c r="H26" s="229">
        <v>1</v>
      </c>
      <c r="I26" s="230" t="s">
        <v>120</v>
      </c>
      <c r="J26" s="252">
        <v>20</v>
      </c>
      <c r="K26" s="109"/>
      <c r="L26" s="235">
        <f>'Allgemeine Angaben'!L44/J26</f>
        <v>0</v>
      </c>
      <c r="M26" s="61"/>
      <c r="N26" s="897"/>
      <c r="O26" s="883"/>
      <c r="P26" s="883"/>
      <c r="Q26" s="1484"/>
      <c r="R26" s="917"/>
      <c r="S26" s="918">
        <v>1</v>
      </c>
      <c r="T26" s="919">
        <f>T24/S24</f>
        <v>1.638961038961039</v>
      </c>
      <c r="U26" s="919">
        <f>U24/S24</f>
        <v>2.3051948051948052</v>
      </c>
      <c r="V26" s="920">
        <f>V24/S24</f>
        <v>2.6038961038961039</v>
      </c>
      <c r="W26" s="883"/>
      <c r="X26" s="883"/>
      <c r="Y26" s="400"/>
      <c r="Z26" s="400"/>
      <c r="AA26" s="400"/>
      <c r="AB26" s="400"/>
      <c r="AC26" s="400"/>
      <c r="AD26" s="554"/>
      <c r="AE26" s="554"/>
    </row>
    <row r="27" spans="1:31" s="28" customFormat="1" ht="9.9499999999999993" customHeight="1" thickBot="1">
      <c r="A27" s="54"/>
      <c r="B27" s="156"/>
      <c r="C27" s="156"/>
      <c r="D27" s="156"/>
      <c r="E27" s="156"/>
      <c r="F27" s="156"/>
      <c r="G27" s="12"/>
      <c r="H27" s="12"/>
      <c r="I27" s="12"/>
      <c r="J27" s="210"/>
      <c r="K27" s="12"/>
      <c r="L27" s="12"/>
      <c r="M27" s="61"/>
      <c r="N27" s="896"/>
      <c r="O27" s="883"/>
      <c r="P27" s="883"/>
      <c r="Q27" s="1485"/>
      <c r="R27" s="921"/>
      <c r="S27" s="922"/>
      <c r="T27" s="922">
        <f>T24/S24-1</f>
        <v>0.63896103896103895</v>
      </c>
      <c r="U27" s="922">
        <f t="shared" ref="U27:V27" si="1">U24/T24-1</f>
        <v>0.40649762282091917</v>
      </c>
      <c r="V27" s="923">
        <f t="shared" si="1"/>
        <v>0.12957746478873244</v>
      </c>
      <c r="W27" s="883"/>
      <c r="X27" s="883"/>
      <c r="Y27" s="400"/>
      <c r="Z27" s="400"/>
      <c r="AA27" s="400"/>
      <c r="AB27" s="400"/>
      <c r="AC27" s="400"/>
      <c r="AD27" s="554"/>
      <c r="AE27" s="554"/>
    </row>
    <row r="28" spans="1:31" s="28" customFormat="1" ht="14.25" customHeight="1">
      <c r="A28" s="54"/>
      <c r="B28" s="239" t="s">
        <v>127</v>
      </c>
      <c r="C28" s="240"/>
      <c r="D28" s="240"/>
      <c r="E28" s="240"/>
      <c r="F28" s="244"/>
      <c r="G28" s="233"/>
      <c r="H28" s="245">
        <v>1</v>
      </c>
      <c r="I28" s="246" t="s">
        <v>120</v>
      </c>
      <c r="J28" s="234"/>
      <c r="K28" s="211" t="s">
        <v>126</v>
      </c>
      <c r="L28" s="243" t="str">
        <f>IF(Personalaufwendungen!H34&gt;0,'Allgemeine Angaben'!$L$44/Personalaufwendungen!H34,"")</f>
        <v/>
      </c>
      <c r="M28" s="61"/>
      <c r="N28" s="896"/>
      <c r="O28" s="883"/>
      <c r="P28" s="883"/>
      <c r="Q28" s="883"/>
      <c r="R28" s="924"/>
      <c r="S28" s="924"/>
      <c r="T28" s="924"/>
      <c r="U28" s="924"/>
      <c r="V28" s="924"/>
      <c r="W28" s="883"/>
      <c r="X28" s="883"/>
      <c r="Y28" s="400"/>
      <c r="Z28" s="400"/>
      <c r="AA28" s="400"/>
      <c r="AB28" s="400"/>
      <c r="AC28" s="400"/>
      <c r="AD28" s="554"/>
      <c r="AE28" s="554"/>
    </row>
    <row r="29" spans="1:31" s="28" customFormat="1" ht="13.5" customHeight="1">
      <c r="A29" s="54"/>
      <c r="B29" s="156"/>
      <c r="C29" s="156"/>
      <c r="D29" s="156"/>
      <c r="E29" s="156"/>
      <c r="F29" s="156"/>
      <c r="G29" s="12"/>
      <c r="H29" s="12"/>
      <c r="I29" s="12"/>
      <c r="J29" s="210"/>
      <c r="K29" s="12"/>
      <c r="L29" s="12"/>
      <c r="M29" s="61"/>
      <c r="N29" s="1085" t="s">
        <v>608</v>
      </c>
      <c r="O29" s="265"/>
      <c r="P29" s="265"/>
      <c r="Q29" s="1481"/>
      <c r="R29" s="1188" t="s">
        <v>752</v>
      </c>
      <c r="S29" s="811"/>
      <c r="T29" s="811"/>
      <c r="U29" s="811"/>
      <c r="V29" s="811"/>
      <c r="W29" s="265"/>
      <c r="X29" s="265"/>
      <c r="Y29" s="400"/>
      <c r="Z29" s="400"/>
      <c r="AA29" s="400"/>
      <c r="AB29" s="400"/>
      <c r="AC29" s="400"/>
      <c r="AD29" s="554"/>
      <c r="AE29" s="554"/>
    </row>
    <row r="30" spans="1:31" s="28" customFormat="1" ht="14.25" customHeight="1">
      <c r="A30" s="54"/>
      <c r="B30" s="239" t="s">
        <v>128</v>
      </c>
      <c r="C30" s="240"/>
      <c r="D30" s="240"/>
      <c r="E30" s="240"/>
      <c r="F30" s="244"/>
      <c r="G30" s="233"/>
      <c r="H30" s="229">
        <v>1</v>
      </c>
      <c r="I30" s="230" t="s">
        <v>120</v>
      </c>
      <c r="J30" s="234"/>
      <c r="K30" s="211" t="s">
        <v>126</v>
      </c>
      <c r="L30" s="243" t="str">
        <f>IF(Personalaufwendungen!H39&gt;0,'Allgemeine Angaben'!$L$44/Personalaufwendungen!H39,"")</f>
        <v/>
      </c>
      <c r="M30" s="61"/>
      <c r="N30" s="876" t="s">
        <v>512</v>
      </c>
      <c r="O30" s="265"/>
      <c r="P30" s="265"/>
      <c r="Q30" s="1481"/>
      <c r="R30" s="1190"/>
      <c r="S30" s="878"/>
      <c r="T30" s="878"/>
      <c r="U30" s="878"/>
      <c r="V30" s="878"/>
      <c r="W30" s="265"/>
      <c r="X30" s="265"/>
      <c r="Y30" s="400"/>
      <c r="Z30" s="400"/>
      <c r="AA30" s="400"/>
      <c r="AB30" s="400"/>
      <c r="AC30" s="400"/>
    </row>
    <row r="31" spans="1:31" s="28" customFormat="1" ht="9.9499999999999993" customHeight="1">
      <c r="A31" s="54"/>
      <c r="B31" s="156"/>
      <c r="C31" s="156"/>
      <c r="D31" s="156"/>
      <c r="E31" s="156"/>
      <c r="F31" s="156"/>
      <c r="G31" s="12"/>
      <c r="H31" s="12"/>
      <c r="I31" s="12"/>
      <c r="J31" s="210"/>
      <c r="K31" s="12"/>
      <c r="L31" s="12"/>
      <c r="M31" s="61"/>
      <c r="N31" s="876" t="s">
        <v>510</v>
      </c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400"/>
      <c r="Z31" s="400"/>
      <c r="AA31" s="400"/>
      <c r="AB31" s="400"/>
      <c r="AC31" s="400"/>
    </row>
    <row r="32" spans="1:31" s="28" customFormat="1" ht="14.25" customHeight="1">
      <c r="A32" s="54"/>
      <c r="B32" s="239" t="s">
        <v>56</v>
      </c>
      <c r="C32" s="240"/>
      <c r="D32" s="240"/>
      <c r="E32" s="240"/>
      <c r="F32" s="244"/>
      <c r="G32" s="233"/>
      <c r="H32" s="229">
        <v>1</v>
      </c>
      <c r="I32" s="230" t="s">
        <v>120</v>
      </c>
      <c r="J32" s="234"/>
      <c r="K32" s="211" t="s">
        <v>126</v>
      </c>
      <c r="L32" s="243" t="str">
        <f>IF(Personalaufwendungen!H41&gt;0,'Allgemeine Angaben'!$L$44/Personalaufwendungen!H41,"")</f>
        <v/>
      </c>
      <c r="M32" s="61"/>
      <c r="N32" s="876" t="s">
        <v>513</v>
      </c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400"/>
      <c r="AB32" s="400"/>
      <c r="AC32" s="400"/>
    </row>
    <row r="33" spans="1:29" s="28" customFormat="1" ht="9.9499999999999993" customHeight="1" thickBot="1">
      <c r="A33" s="54"/>
      <c r="B33" s="156"/>
      <c r="C33" s="156"/>
      <c r="D33" s="156"/>
      <c r="E33" s="156"/>
      <c r="F33" s="156"/>
      <c r="G33" s="12"/>
      <c r="H33" s="12"/>
      <c r="I33" s="12"/>
      <c r="J33" s="210"/>
      <c r="K33" s="12"/>
      <c r="L33" s="12"/>
      <c r="M33" s="61"/>
      <c r="N33" s="1188"/>
      <c r="O33" s="265"/>
      <c r="P33" s="265"/>
      <c r="Q33" s="265"/>
      <c r="R33" s="265"/>
      <c r="S33" s="265"/>
      <c r="T33" s="265"/>
      <c r="U33" s="265"/>
      <c r="V33" s="265"/>
      <c r="W33" s="265"/>
      <c r="X33" s="925"/>
      <c r="Y33" s="925"/>
      <c r="Z33" s="925"/>
      <c r="AA33" s="400"/>
      <c r="AB33" s="400"/>
      <c r="AC33" s="400"/>
    </row>
    <row r="34" spans="1:29" s="28" customFormat="1" ht="14.25" customHeight="1">
      <c r="A34" s="54"/>
      <c r="B34" s="239" t="s">
        <v>58</v>
      </c>
      <c r="C34" s="240"/>
      <c r="D34" s="240"/>
      <c r="E34" s="240"/>
      <c r="F34" s="244"/>
      <c r="G34" s="233"/>
      <c r="H34" s="229">
        <v>1</v>
      </c>
      <c r="I34" s="230" t="s">
        <v>120</v>
      </c>
      <c r="J34" s="234"/>
      <c r="K34" s="211" t="s">
        <v>126</v>
      </c>
      <c r="L34" s="243" t="str">
        <f>IF(Personalaufwendungen!H43&gt;0,'Allgemeine Angaben'!$L$44/Personalaufwendungen!H43,"")</f>
        <v/>
      </c>
      <c r="M34" s="61"/>
      <c r="N34" s="589" t="s">
        <v>346</v>
      </c>
      <c r="O34" s="555" t="s">
        <v>359</v>
      </c>
      <c r="P34" s="556"/>
      <c r="Q34" s="556" t="s">
        <v>349</v>
      </c>
      <c r="R34" s="556"/>
      <c r="S34" s="556"/>
      <c r="T34" s="556"/>
      <c r="U34" s="556"/>
      <c r="V34" s="556"/>
      <c r="W34" s="556"/>
      <c r="X34" s="559"/>
      <c r="Y34" s="559"/>
      <c r="Z34" s="559"/>
      <c r="AA34" s="557" t="s">
        <v>351</v>
      </c>
      <c r="AB34" s="557"/>
      <c r="AC34" s="558"/>
    </row>
    <row r="35" spans="1:29" s="28" customFormat="1" ht="9.9499999999999993" customHeight="1">
      <c r="A35" s="54"/>
      <c r="B35" s="156"/>
      <c r="C35" s="156"/>
      <c r="D35" s="156"/>
      <c r="E35" s="156"/>
      <c r="F35" s="156"/>
      <c r="G35" s="12"/>
      <c r="H35" s="12"/>
      <c r="I35" s="12"/>
      <c r="J35" s="210"/>
      <c r="K35" s="12"/>
      <c r="L35" s="12"/>
      <c r="M35" s="61"/>
      <c r="N35" s="590">
        <v>1</v>
      </c>
      <c r="O35" s="583">
        <f>IF(Belegung!E26&lt;&gt;0,Forderung!J9,0)</f>
        <v>0</v>
      </c>
      <c r="P35" s="559"/>
      <c r="Q35" s="559" t="s">
        <v>350</v>
      </c>
      <c r="R35" s="559"/>
      <c r="S35" s="559"/>
      <c r="T35" s="559"/>
      <c r="U35" s="559"/>
      <c r="V35" s="559"/>
      <c r="W35" s="559"/>
      <c r="X35" s="559"/>
      <c r="Y35" s="559"/>
      <c r="Z35" s="559"/>
      <c r="AA35" s="644"/>
      <c r="AB35" s="559"/>
      <c r="AC35" s="560"/>
    </row>
    <row r="36" spans="1:29" s="28" customFormat="1" ht="14.25" customHeight="1">
      <c r="A36" s="54"/>
      <c r="B36" s="239" t="s">
        <v>129</v>
      </c>
      <c r="C36" s="240"/>
      <c r="D36" s="240"/>
      <c r="E36" s="240"/>
      <c r="F36" s="240"/>
      <c r="G36" s="247" t="s">
        <v>130</v>
      </c>
      <c r="H36" s="229"/>
      <c r="I36" s="230"/>
      <c r="J36" s="215"/>
      <c r="K36" s="12"/>
      <c r="L36" s="248" t="str">
        <f>IF(Personalaufwendungen!H62&gt;0,Personalaufwendungen!H62+Personalaufwendungen!H64,IF(Personalaufwendungen!H64&gt;0,Personalaufwendungen!H62+Personalaufwendungen!H64,""))</f>
        <v/>
      </c>
      <c r="M36" s="61"/>
      <c r="N36" s="590">
        <v>2</v>
      </c>
      <c r="O36" s="583">
        <f>IF(Belegung!E27&lt;&gt;0,Forderung!J11,0)</f>
        <v>0</v>
      </c>
      <c r="P36" s="559"/>
      <c r="Q36" s="559"/>
      <c r="R36" s="559"/>
      <c r="S36" s="559"/>
      <c r="T36" s="559"/>
      <c r="U36" s="559"/>
      <c r="V36" s="559"/>
      <c r="W36" s="559"/>
      <c r="X36" s="559"/>
      <c r="Y36" s="559"/>
      <c r="Z36" s="559"/>
      <c r="AA36" s="559"/>
      <c r="AB36" s="559"/>
      <c r="AC36" s="560"/>
    </row>
    <row r="37" spans="1:29" s="28" customFormat="1" ht="12.75" customHeight="1" thickBot="1">
      <c r="A37" s="54"/>
      <c r="B37" s="156"/>
      <c r="C37" s="156"/>
      <c r="D37" s="156"/>
      <c r="E37" s="156"/>
      <c r="F37" s="156"/>
      <c r="G37" s="12"/>
      <c r="H37" s="12"/>
      <c r="I37" s="12"/>
      <c r="J37" s="210"/>
      <c r="K37" s="12"/>
      <c r="L37" s="12"/>
      <c r="M37" s="61"/>
      <c r="N37" s="590">
        <v>3</v>
      </c>
      <c r="O37" s="583">
        <f>IF(Belegung!E28&lt;&gt;0,Forderung!J13,0)</f>
        <v>0</v>
      </c>
      <c r="P37" s="559"/>
      <c r="Q37" s="559"/>
      <c r="R37" s="559"/>
      <c r="S37" s="559"/>
      <c r="T37" s="559"/>
      <c r="U37" s="559"/>
      <c r="V37" s="559"/>
      <c r="W37" s="559"/>
      <c r="X37" s="559"/>
      <c r="Y37" s="559"/>
      <c r="Z37" s="559"/>
      <c r="AA37" s="559"/>
      <c r="AB37" s="559"/>
      <c r="AC37" s="560"/>
    </row>
    <row r="38" spans="1:29" s="28" customFormat="1" ht="14.25" customHeight="1">
      <c r="A38" s="54"/>
      <c r="B38" s="749"/>
      <c r="C38" s="749"/>
      <c r="D38" s="749"/>
      <c r="E38" s="749"/>
      <c r="F38" s="749"/>
      <c r="G38" s="749"/>
      <c r="H38" s="750"/>
      <c r="I38" s="751"/>
      <c r="J38" s="752"/>
      <c r="K38" s="753"/>
      <c r="L38" s="579"/>
      <c r="M38" s="596"/>
      <c r="N38" s="590">
        <v>4</v>
      </c>
      <c r="O38" s="583">
        <f>IF(Belegung!E29&lt;&gt;0,Forderung!J15,0)</f>
        <v>0</v>
      </c>
      <c r="P38" s="559"/>
      <c r="Q38" s="577" t="s">
        <v>363</v>
      </c>
      <c r="R38" s="556"/>
      <c r="S38" s="582">
        <v>1</v>
      </c>
      <c r="T38" s="569"/>
      <c r="U38" s="559"/>
      <c r="V38" s="559"/>
      <c r="W38" s="559"/>
      <c r="X38" s="559"/>
      <c r="Y38" s="559"/>
      <c r="Z38" s="559"/>
      <c r="AA38" s="559"/>
      <c r="AB38" s="559"/>
      <c r="AC38" s="560"/>
    </row>
    <row r="39" spans="1:29" s="28" customFormat="1" ht="14.25" customHeight="1" thickBot="1">
      <c r="A39" s="54"/>
      <c r="B39" s="253"/>
      <c r="C39" s="253"/>
      <c r="D39" s="253"/>
      <c r="E39" s="253"/>
      <c r="F39" s="253"/>
      <c r="G39" s="253"/>
      <c r="H39" s="229"/>
      <c r="I39" s="229"/>
      <c r="J39" s="229"/>
      <c r="K39" s="229"/>
      <c r="L39" s="229"/>
      <c r="M39" s="61"/>
      <c r="N39" s="591">
        <v>5</v>
      </c>
      <c r="O39" s="584">
        <f>IF(Belegung!E30&lt;&gt;0,Forderung!J17,0)</f>
        <v>0</v>
      </c>
      <c r="P39" s="559"/>
      <c r="Q39" s="879" t="s">
        <v>494</v>
      </c>
      <c r="R39" s="573"/>
      <c r="S39" s="573"/>
      <c r="T39" s="574"/>
      <c r="U39" s="559"/>
      <c r="V39" s="559"/>
      <c r="W39" s="559"/>
      <c r="X39" s="559"/>
      <c r="Y39" s="559"/>
      <c r="Z39" s="559"/>
      <c r="AA39" s="559"/>
      <c r="AB39" s="559"/>
      <c r="AC39" s="560"/>
    </row>
    <row r="40" spans="1:29" s="28" customFormat="1" ht="14.25" customHeight="1" thickBot="1">
      <c r="A40" s="54"/>
      <c r="B40" s="12"/>
      <c r="C40" s="12" t="s">
        <v>114</v>
      </c>
      <c r="D40" s="12"/>
      <c r="E40" s="12"/>
      <c r="F40" s="12"/>
      <c r="G40" s="12"/>
      <c r="H40" s="254"/>
      <c r="I40" s="12"/>
      <c r="J40" s="213" t="s">
        <v>115</v>
      </c>
      <c r="K40" s="213"/>
      <c r="L40" s="1479" t="str">
        <f>IF('Allgemeine Angaben'!L45&gt;0,"angeschlos-sene Kurz-zeitpflege","")</f>
        <v/>
      </c>
      <c r="M40" s="214"/>
      <c r="N40" s="592"/>
      <c r="O40" s="561"/>
      <c r="P40" s="562"/>
      <c r="Q40" s="563"/>
      <c r="R40" s="564"/>
      <c r="S40" s="565"/>
      <c r="T40" s="559"/>
      <c r="U40" s="559"/>
      <c r="V40" s="559"/>
      <c r="W40" s="559"/>
      <c r="X40" s="566"/>
      <c r="Y40" s="566"/>
      <c r="Z40" s="566"/>
      <c r="AA40" s="566"/>
      <c r="AB40" s="559"/>
      <c r="AC40" s="560"/>
    </row>
    <row r="41" spans="1:29" s="28" customFormat="1" ht="14.25" customHeight="1">
      <c r="A41" s="54"/>
      <c r="B41" s="255" t="s">
        <v>131</v>
      </c>
      <c r="C41" s="12"/>
      <c r="D41" s="12"/>
      <c r="E41" s="12"/>
      <c r="F41" s="12"/>
      <c r="G41" s="256"/>
      <c r="H41" s="254"/>
      <c r="I41" s="12"/>
      <c r="J41" s="213"/>
      <c r="K41" s="213"/>
      <c r="L41" s="1479"/>
      <c r="M41" s="214"/>
      <c r="N41" s="567" t="s">
        <v>352</v>
      </c>
      <c r="O41" s="567"/>
      <c r="P41" s="567"/>
      <c r="Q41" s="568" t="s">
        <v>367</v>
      </c>
      <c r="R41" s="568"/>
      <c r="S41" s="556"/>
      <c r="T41" s="568"/>
      <c r="U41" s="568"/>
      <c r="V41" s="556"/>
      <c r="W41" s="569"/>
      <c r="X41" s="559"/>
      <c r="Y41" s="559" t="s">
        <v>357</v>
      </c>
      <c r="Z41" s="559"/>
      <c r="AA41" s="566"/>
      <c r="AB41" s="559"/>
      <c r="AC41" s="560"/>
    </row>
    <row r="42" spans="1:29" s="28" customFormat="1" ht="14.25" customHeight="1">
      <c r="A42" s="54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479"/>
      <c r="M42" s="61"/>
      <c r="N42" s="593"/>
      <c r="O42" s="570" t="s">
        <v>353</v>
      </c>
      <c r="P42" s="571" t="s">
        <v>354</v>
      </c>
      <c r="Q42" s="570" t="s">
        <v>361</v>
      </c>
      <c r="R42" s="775"/>
      <c r="S42" s="870"/>
      <c r="T42" s="642" t="s">
        <v>355</v>
      </c>
      <c r="U42" s="575"/>
      <c r="V42" s="571" t="s">
        <v>362</v>
      </c>
      <c r="W42" s="572"/>
      <c r="X42" s="559"/>
      <c r="Y42" s="559" t="s">
        <v>358</v>
      </c>
      <c r="Z42" s="559"/>
      <c r="AA42" s="559"/>
      <c r="AB42" s="559"/>
      <c r="AC42" s="560"/>
    </row>
    <row r="43" spans="1:29" s="28" customFormat="1" ht="14.25" customHeight="1">
      <c r="A43" s="54"/>
      <c r="B43" s="218" t="s">
        <v>132</v>
      </c>
      <c r="C43" s="12"/>
      <c r="D43" s="12"/>
      <c r="E43" s="12"/>
      <c r="F43" s="12"/>
      <c r="G43" s="254"/>
      <c r="H43" s="440" t="s">
        <v>133</v>
      </c>
      <c r="I43" s="12"/>
      <c r="J43" s="220" t="str">
        <f>IF(ISERROR(Gesamtkalkulation!J50),"",Gesamtkalkulation!J50)</f>
        <v/>
      </c>
      <c r="K43" s="102" t="s">
        <v>74</v>
      </c>
      <c r="L43" s="220"/>
      <c r="M43" s="61"/>
      <c r="N43" s="594"/>
      <c r="O43" s="587" t="b">
        <f>IF(O35&gt;0,1,IF(O36&gt;0,2,IF(O37&gt;0,3,IF(O38&gt;0,4,IF(O39&gt;0,5)))))</f>
        <v>0</v>
      </c>
      <c r="P43" s="588" t="b">
        <f>IF(O43=1,O35,IF(O43=2,O36,IF(O43=3,O37,IF(O43=4,O38,IF(O43=5,O39)))))</f>
        <v>0</v>
      </c>
      <c r="Q43" s="777" t="b">
        <f>IF(O43=1,P43,IF(O43=2,P43*R21/S21,IF(O43=3,P43*R21/T21,IF(O43=4,P43/U21*R21,IF(O43=5,P43/V21*R21)))))</f>
        <v>0</v>
      </c>
      <c r="R43" s="776"/>
      <c r="S43" s="871"/>
      <c r="T43" s="643" t="b">
        <f>Q43</f>
        <v>0</v>
      </c>
      <c r="U43" s="576"/>
      <c r="V43" s="563" t="s">
        <v>340</v>
      </c>
      <c r="W43" s="560"/>
      <c r="X43" s="559"/>
      <c r="Y43" s="559" t="s">
        <v>356</v>
      </c>
      <c r="Z43" s="559"/>
      <c r="AA43" s="559"/>
      <c r="AB43" s="559"/>
      <c r="AC43" s="560"/>
    </row>
    <row r="44" spans="1:29" s="28" customFormat="1" ht="14.25" customHeight="1">
      <c r="A44" s="54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61"/>
      <c r="N44" s="559"/>
      <c r="O44" s="587" t="b">
        <f>IF(O36&gt;0,2,IF(O37&gt;0,3,IF(O35&gt;0,1,IF(O38&gt;0,4,IF(O39&gt;0,5)))))</f>
        <v>0</v>
      </c>
      <c r="P44" s="588" t="b">
        <f>IF(O44=2,O36,IF(O44=3,O37,IF(O44=1,O35,IF(O44=4,O38,IF(O44=5,O39)))))</f>
        <v>0</v>
      </c>
      <c r="Q44" s="777" t="b">
        <f>IF(O44=2,P44,IF(O44=3,P44*S21/T21,IF(O44=1,P44*S21/R21,IF(O44=4,P44/U21*S21,IF(O44=5,P44/V21*S21)))))</f>
        <v>0</v>
      </c>
      <c r="R44" s="776"/>
      <c r="S44" s="871"/>
      <c r="T44" s="643" t="b">
        <f t="shared" ref="T44:T47" si="2">Q44</f>
        <v>0</v>
      </c>
      <c r="U44" s="576"/>
      <c r="V44" s="563" t="s">
        <v>344</v>
      </c>
      <c r="W44" s="560"/>
      <c r="X44" s="559"/>
      <c r="Y44" s="559" t="s">
        <v>372</v>
      </c>
      <c r="Z44" s="559"/>
      <c r="AA44" s="559"/>
      <c r="AB44" s="559"/>
      <c r="AC44" s="560"/>
    </row>
    <row r="45" spans="1:29" s="28" customFormat="1" ht="14.25" customHeight="1">
      <c r="A45" s="54"/>
      <c r="B45" s="218" t="s">
        <v>134</v>
      </c>
      <c r="C45" s="12"/>
      <c r="D45" s="257" t="s">
        <v>135</v>
      </c>
      <c r="E45" s="244"/>
      <c r="F45" s="244"/>
      <c r="G45" s="233"/>
      <c r="H45" s="12"/>
      <c r="I45" s="12"/>
      <c r="J45" s="220" t="str">
        <f>IF(Gesamtkalkulation!H52&gt;0,Gesamtkalkulation!H52,"")</f>
        <v/>
      </c>
      <c r="K45" s="102" t="s">
        <v>74</v>
      </c>
      <c r="L45" s="718" t="str">
        <f>IFERROR(Gesamtkalkulation!H54,"")</f>
        <v/>
      </c>
      <c r="M45" s="61"/>
      <c r="N45" s="559"/>
      <c r="O45" s="587" t="b">
        <f>IF(O37&gt;0,3,IF(O36&gt;0,2,IF(O38&gt;0,4,IF(O39&gt;0,5,IF(O35&gt;0,1)))))</f>
        <v>0</v>
      </c>
      <c r="P45" s="588" t="b">
        <f>IF(O45=3,O37,IF(O45=2,O36,IF(O45=4,O38,IF(O45=5,O39,IF(O45=1,O35)))))</f>
        <v>0</v>
      </c>
      <c r="Q45" s="777" t="b">
        <f>IF(O45=3,P45,IF(O45=2,P45/S21*T21,IF(O45=4,P45/U21*T21,IF(O45=5,P45/V21*T21,IF(O45=1,P45*T21/R21)))))</f>
        <v>0</v>
      </c>
      <c r="R45" s="776"/>
      <c r="S45" s="871"/>
      <c r="T45" s="643" t="b">
        <f t="shared" si="2"/>
        <v>0</v>
      </c>
      <c r="U45" s="576"/>
      <c r="V45" s="563" t="s">
        <v>343</v>
      </c>
      <c r="W45" s="560"/>
      <c r="X45" s="559"/>
      <c r="Y45" s="880" t="s">
        <v>498</v>
      </c>
      <c r="Z45" s="559"/>
      <c r="AA45" s="559"/>
      <c r="AB45" s="559"/>
      <c r="AC45" s="560"/>
    </row>
    <row r="46" spans="1:29" s="28" customFormat="1" ht="13.5" customHeight="1">
      <c r="A46" s="54"/>
      <c r="B46" s="156"/>
      <c r="C46" s="156"/>
      <c r="D46" s="156"/>
      <c r="E46" s="156"/>
      <c r="F46" s="156"/>
      <c r="G46" s="12"/>
      <c r="H46" s="12"/>
      <c r="I46" s="12"/>
      <c r="J46" s="210"/>
      <c r="K46" s="12"/>
      <c r="L46" s="210"/>
      <c r="M46" s="61"/>
      <c r="N46" s="559"/>
      <c r="O46" s="587" t="b">
        <f>IF(O38&gt;0,4,IF(O37&gt;0,3,IF(O39&gt;0,5,IF(O36&gt;0,2,IF(O35&gt;0,1)))))</f>
        <v>0</v>
      </c>
      <c r="P46" s="588" t="b">
        <f>IF(O46=4,O38,IF(O46=3,O37,IF(O46=5,O39,IF(O46=2,O36,IF(O46=1,O35)))))</f>
        <v>0</v>
      </c>
      <c r="Q46" s="777" t="b">
        <f>IF(O46=4,P46,IF(O46=3,P46/T21*U21,IF(O46=5,P46/V21*U21,IF(O46=2,P46/S21*U21,IF(O46=1,P46/R21*U21)))))</f>
        <v>0</v>
      </c>
      <c r="R46" s="776"/>
      <c r="S46" s="871"/>
      <c r="T46" s="643" t="b">
        <f t="shared" si="2"/>
        <v>0</v>
      </c>
      <c r="U46" s="576"/>
      <c r="V46" s="563" t="s">
        <v>342</v>
      </c>
      <c r="W46" s="560"/>
      <c r="X46" s="559"/>
      <c r="Y46" s="880" t="s">
        <v>499</v>
      </c>
      <c r="Z46" s="559"/>
      <c r="AA46" s="559"/>
      <c r="AB46" s="559"/>
      <c r="AC46" s="560"/>
    </row>
    <row r="47" spans="1:29" s="28" customFormat="1" ht="14.25" customHeight="1">
      <c r="A47" s="54"/>
      <c r="B47" s="12"/>
      <c r="C47" s="12"/>
      <c r="D47" s="257" t="s">
        <v>136</v>
      </c>
      <c r="E47" s="244"/>
      <c r="F47" s="244"/>
      <c r="G47" s="233"/>
      <c r="H47" s="12"/>
      <c r="I47" s="12"/>
      <c r="J47" s="220" t="str">
        <f>IF(ISERROR(Gesamtkalkulation!J52),"",Gesamtkalkulation!J52)</f>
        <v/>
      </c>
      <c r="K47" s="102" t="s">
        <v>74</v>
      </c>
      <c r="L47" s="718" t="str">
        <f>IFERROR(Gesamtkalkulation!J54,"")</f>
        <v/>
      </c>
      <c r="M47" s="61"/>
      <c r="N47" s="595"/>
      <c r="O47" s="587" t="b">
        <f>IF(O39&gt;0,5,IF(O38&gt;0,4,IF(O37&gt;0,3,IF(O36&gt;0,2,IF(O35&gt;0,1)))))</f>
        <v>0</v>
      </c>
      <c r="P47" s="588" t="b">
        <f>IF(O47=5,O39,IF(O47=4,O38,IF(O47=3,O37,IF(O47=2,O36,IF(O47=1,O35)))))</f>
        <v>0</v>
      </c>
      <c r="Q47" s="777" t="b">
        <f>IF(O47=5,P47,IF(O47=4,P47/U21*V21,IF(O47=3,P47/T21*V21,IF(O47=2,P47/S21*V21,IF(O47=1,P47/R21*V21)))))</f>
        <v>0</v>
      </c>
      <c r="R47" s="776"/>
      <c r="S47" s="871"/>
      <c r="T47" s="643" t="b">
        <f t="shared" si="2"/>
        <v>0</v>
      </c>
      <c r="U47" s="576"/>
      <c r="V47" s="563" t="s">
        <v>341</v>
      </c>
      <c r="W47" s="560"/>
      <c r="X47" s="559"/>
      <c r="Y47" s="880" t="s">
        <v>497</v>
      </c>
      <c r="Z47" s="559"/>
      <c r="AA47" s="559"/>
      <c r="AB47" s="559"/>
      <c r="AC47" s="560"/>
    </row>
    <row r="48" spans="1:29" s="28" customFormat="1" ht="9.9499999999999993" customHeight="1" thickBot="1">
      <c r="A48" s="54"/>
      <c r="B48" s="156"/>
      <c r="C48" s="156"/>
      <c r="D48" s="156"/>
      <c r="E48" s="156"/>
      <c r="F48" s="156"/>
      <c r="G48" s="12"/>
      <c r="H48" s="12"/>
      <c r="I48" s="12"/>
      <c r="J48" s="210"/>
      <c r="K48" s="12"/>
      <c r="L48" s="210"/>
      <c r="M48" s="61"/>
      <c r="N48" s="573"/>
      <c r="O48" s="573"/>
      <c r="P48" s="573"/>
      <c r="Q48" s="573"/>
      <c r="R48" s="573"/>
      <c r="S48" s="573"/>
      <c r="T48" s="573"/>
      <c r="U48" s="573"/>
      <c r="V48" s="573"/>
      <c r="W48" s="574"/>
      <c r="X48" s="573"/>
      <c r="Y48" s="573"/>
      <c r="Z48" s="573"/>
      <c r="AA48" s="573"/>
      <c r="AB48" s="573"/>
      <c r="AC48" s="574"/>
    </row>
    <row r="49" spans="1:29" s="28" customFormat="1" ht="14.25" customHeight="1">
      <c r="A49" s="54"/>
      <c r="B49" s="12"/>
      <c r="C49" s="12"/>
      <c r="D49" s="257" t="s">
        <v>137</v>
      </c>
      <c r="E49" s="244"/>
      <c r="F49" s="244"/>
      <c r="G49" s="233"/>
      <c r="H49" s="12"/>
      <c r="I49" s="12"/>
      <c r="J49" s="220" t="str">
        <f>IF(ISERROR(Gesamtkalkulation!L52),"",Gesamtkalkulation!L52)</f>
        <v/>
      </c>
      <c r="K49" s="102" t="s">
        <v>74</v>
      </c>
      <c r="L49" s="718" t="str">
        <f>IFERROR(Gesamtkalkulation!L54,"")</f>
        <v/>
      </c>
      <c r="M49" s="61"/>
      <c r="N49" s="946"/>
      <c r="O49" s="547"/>
      <c r="P49" s="265"/>
      <c r="Q49" s="265"/>
      <c r="R49" s="265"/>
      <c r="S49" s="265"/>
      <c r="T49" s="265"/>
      <c r="U49" s="265"/>
      <c r="V49" s="265"/>
      <c r="W49" s="265"/>
      <c r="X49" s="265"/>
      <c r="Y49" s="553"/>
      <c r="Z49" s="553"/>
    </row>
    <row r="50" spans="1:29" s="28" customFormat="1" ht="9.9499999999999993" customHeight="1">
      <c r="A50" s="54"/>
      <c r="B50" s="156"/>
      <c r="C50" s="156"/>
      <c r="D50" s="156"/>
      <c r="E50" s="156"/>
      <c r="F50" s="156"/>
      <c r="G50" s="12"/>
      <c r="H50" s="12"/>
      <c r="I50" s="12"/>
      <c r="J50" s="210"/>
      <c r="K50" s="12"/>
      <c r="L50" s="210"/>
      <c r="M50" s="61"/>
      <c r="N50" s="876" t="s">
        <v>495</v>
      </c>
      <c r="O50" s="547"/>
      <c r="P50" s="265"/>
      <c r="Q50" s="265"/>
      <c r="R50" s="265"/>
      <c r="S50" s="265"/>
      <c r="T50" s="265"/>
      <c r="U50" s="265"/>
      <c r="V50" s="265"/>
      <c r="W50" s="265"/>
      <c r="X50" s="265"/>
      <c r="Y50" s="553"/>
      <c r="Z50" s="553"/>
    </row>
    <row r="51" spans="1:29" s="28" customFormat="1" ht="14.25" customHeight="1">
      <c r="A51" s="54"/>
      <c r="B51" s="12"/>
      <c r="C51" s="12"/>
      <c r="D51" s="257" t="s">
        <v>138</v>
      </c>
      <c r="E51" s="244"/>
      <c r="F51" s="244"/>
      <c r="G51" s="233"/>
      <c r="H51" s="12"/>
      <c r="I51" s="12"/>
      <c r="J51" s="220" t="str">
        <f>IF(ISERROR(Gesamtkalkulation!N52),"",Gesamtkalkulation!N52)</f>
        <v/>
      </c>
      <c r="K51" s="102" t="s">
        <v>74</v>
      </c>
      <c r="L51" s="718" t="str">
        <f>IFERROR(Gesamtkalkulation!N54,"")</f>
        <v/>
      </c>
      <c r="M51" s="61"/>
      <c r="N51" s="875" t="s">
        <v>500</v>
      </c>
      <c r="O51" s="547"/>
      <c r="P51" s="265"/>
      <c r="Q51" s="265"/>
      <c r="R51" s="265"/>
      <c r="S51" s="265"/>
      <c r="T51" s="265"/>
      <c r="U51" s="265"/>
      <c r="V51" s="265"/>
      <c r="W51" s="265"/>
      <c r="X51" s="265"/>
      <c r="Y51" s="553"/>
      <c r="Z51" s="553"/>
    </row>
    <row r="52" spans="1:29" s="28" customFormat="1" ht="9.9499999999999993" customHeight="1">
      <c r="A52" s="54"/>
      <c r="B52" s="156"/>
      <c r="C52" s="156"/>
      <c r="D52" s="156"/>
      <c r="E52" s="156"/>
      <c r="F52" s="156"/>
      <c r="G52" s="12"/>
      <c r="H52" s="12"/>
      <c r="I52" s="12"/>
      <c r="J52" s="210"/>
      <c r="K52" s="12"/>
      <c r="L52" s="210"/>
      <c r="M52" s="61"/>
      <c r="N52" s="875" t="s">
        <v>501</v>
      </c>
      <c r="O52" s="547"/>
      <c r="P52" s="265"/>
      <c r="Q52" s="265"/>
      <c r="R52" s="265"/>
      <c r="S52" s="265"/>
      <c r="T52" s="265"/>
      <c r="U52" s="265"/>
      <c r="V52" s="265"/>
      <c r="W52" s="265"/>
      <c r="X52" s="265"/>
      <c r="Y52" s="553"/>
      <c r="Z52" s="553"/>
    </row>
    <row r="53" spans="1:29" s="28" customFormat="1" ht="14.25" customHeight="1">
      <c r="A53" s="54"/>
      <c r="B53" s="12"/>
      <c r="C53" s="12"/>
      <c r="D53" s="257" t="s">
        <v>139</v>
      </c>
      <c r="E53" s="244"/>
      <c r="F53" s="244"/>
      <c r="G53" s="233"/>
      <c r="H53" s="12"/>
      <c r="I53" s="12"/>
      <c r="J53" s="220" t="str">
        <f>IF(ISERROR(Gesamtkalkulation!P52),"",Gesamtkalkulation!P52)</f>
        <v/>
      </c>
      <c r="K53" s="102" t="s">
        <v>74</v>
      </c>
      <c r="L53" s="718" t="str">
        <f>IFERROR(Gesamtkalkulation!P54,"")</f>
        <v/>
      </c>
      <c r="M53" s="61"/>
      <c r="N53" s="875"/>
      <c r="O53" s="547"/>
      <c r="P53" s="265"/>
      <c r="Q53" s="265"/>
      <c r="R53" s="265"/>
      <c r="S53" s="265"/>
      <c r="T53" s="265"/>
      <c r="U53" s="265"/>
      <c r="V53" s="265"/>
      <c r="W53" s="265"/>
      <c r="X53" s="265"/>
      <c r="Y53" s="553"/>
      <c r="Z53" s="553"/>
    </row>
    <row r="54" spans="1:29" s="28" customFormat="1" ht="9.9499999999999993" customHeight="1">
      <c r="A54" s="54"/>
      <c r="B54" s="156"/>
      <c r="C54" s="156"/>
      <c r="D54" s="156"/>
      <c r="E54" s="156"/>
      <c r="F54" s="156"/>
      <c r="G54" s="12"/>
      <c r="H54" s="12"/>
      <c r="I54" s="12"/>
      <c r="J54" s="210"/>
      <c r="K54" s="12"/>
      <c r="L54" s="210"/>
      <c r="M54" s="61"/>
      <c r="N54" s="1154" t="s">
        <v>655</v>
      </c>
      <c r="O54" s="547"/>
      <c r="P54" s="265"/>
      <c r="Q54" s="265"/>
      <c r="R54" s="265"/>
      <c r="S54" s="265"/>
      <c r="T54" s="265"/>
      <c r="U54" s="265"/>
      <c r="V54" s="265"/>
      <c r="W54" s="265"/>
      <c r="X54" s="265"/>
      <c r="Y54" s="553"/>
      <c r="Z54" s="553"/>
    </row>
    <row r="55" spans="1:29" s="28" customFormat="1" ht="14.25" customHeight="1">
      <c r="A55" s="5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718"/>
      <c r="M55" s="61"/>
      <c r="N55" s="876"/>
      <c r="O55" s="933"/>
      <c r="P55" s="933"/>
      <c r="Q55" s="933"/>
      <c r="R55" s="933"/>
      <c r="S55" s="931"/>
      <c r="T55" s="389"/>
      <c r="U55" s="389"/>
      <c r="V55" s="400"/>
      <c r="W55" s="400"/>
      <c r="X55" s="400"/>
      <c r="Y55" s="554"/>
      <c r="Z55" s="554"/>
    </row>
    <row r="56" spans="1:29" s="28" customFormat="1" ht="14.25" customHeight="1">
      <c r="A56" s="54"/>
      <c r="B56" s="12"/>
      <c r="C56" s="12"/>
      <c r="D56" s="537"/>
      <c r="E56" s="537"/>
      <c r="F56" s="537"/>
      <c r="G56" s="537"/>
      <c r="H56" s="537"/>
      <c r="I56" s="537"/>
      <c r="J56" s="714"/>
      <c r="K56" s="489"/>
      <c r="L56" s="714"/>
      <c r="M56" s="61"/>
      <c r="N56" s="876"/>
      <c r="O56" s="933"/>
      <c r="P56" s="933"/>
      <c r="Q56" s="933"/>
      <c r="R56" s="933"/>
      <c r="S56" s="932"/>
      <c r="T56" s="389"/>
      <c r="U56" s="389"/>
      <c r="V56" s="400"/>
      <c r="W56" s="400"/>
      <c r="X56" s="400"/>
      <c r="Y56" s="554"/>
      <c r="Z56" s="554"/>
    </row>
    <row r="57" spans="1:29" s="28" customFormat="1" ht="9" customHeight="1">
      <c r="A57" s="54"/>
      <c r="B57" s="156"/>
      <c r="C57" s="156"/>
      <c r="D57" s="156"/>
      <c r="E57" s="156"/>
      <c r="F57" s="156"/>
      <c r="G57" s="12"/>
      <c r="H57" s="12"/>
      <c r="I57" s="12"/>
      <c r="J57" s="210"/>
      <c r="K57" s="12"/>
      <c r="L57" s="210"/>
      <c r="M57" s="61"/>
      <c r="N57" s="400"/>
      <c r="O57" s="400"/>
      <c r="P57" s="400"/>
      <c r="Q57" s="400"/>
      <c r="R57" s="400"/>
      <c r="S57" s="400"/>
      <c r="T57" s="400"/>
      <c r="U57" s="400"/>
      <c r="V57" s="400"/>
      <c r="W57" s="400"/>
      <c r="X57" s="265"/>
    </row>
    <row r="58" spans="1:29" s="28" customFormat="1" ht="14.25" customHeight="1">
      <c r="A58" s="54"/>
      <c r="B58" s="12"/>
      <c r="C58" s="12"/>
      <c r="D58" s="239" t="s">
        <v>140</v>
      </c>
      <c r="E58" s="240"/>
      <c r="F58" s="244"/>
      <c r="G58" s="233"/>
      <c r="H58" s="12"/>
      <c r="I58" s="12"/>
      <c r="J58" s="220" t="str">
        <f>IF(ISERROR(Gesamtkalkulation!V52),"",Gesamtkalkulation!V52)</f>
        <v/>
      </c>
      <c r="K58" s="102" t="s">
        <v>74</v>
      </c>
      <c r="L58" s="718" t="str">
        <f>IFERROR(Gesamtkalkulation!V54,"")</f>
        <v/>
      </c>
      <c r="M58" s="61"/>
      <c r="N58" s="934" t="s">
        <v>458</v>
      </c>
      <c r="O58" s="935"/>
      <c r="P58" s="935"/>
      <c r="Q58" s="935"/>
      <c r="R58" s="936"/>
      <c r="S58" s="950"/>
      <c r="T58" s="950"/>
      <c r="U58" s="950"/>
      <c r="V58" s="950"/>
      <c r="W58" s="950"/>
      <c r="X58" s="965"/>
      <c r="Y58" s="959"/>
      <c r="Z58" s="948"/>
      <c r="AA58" s="948"/>
      <c r="AB58" s="948"/>
      <c r="AC58" s="948"/>
    </row>
    <row r="59" spans="1:29" s="28" customFormat="1" ht="9.9499999999999993" customHeight="1">
      <c r="A59" s="54"/>
      <c r="B59" s="156"/>
      <c r="C59" s="156"/>
      <c r="D59" s="156"/>
      <c r="E59" s="156"/>
      <c r="F59" s="156"/>
      <c r="G59" s="12"/>
      <c r="H59" s="12"/>
      <c r="I59" s="12"/>
      <c r="J59" s="210"/>
      <c r="K59" s="12"/>
      <c r="L59" s="210"/>
      <c r="M59" s="61"/>
      <c r="N59" s="937" t="s">
        <v>450</v>
      </c>
      <c r="O59" s="938"/>
      <c r="P59" s="938"/>
      <c r="Q59" s="941" t="s">
        <v>456</v>
      </c>
      <c r="R59" s="941">
        <f>'Allgemeine Angaben'!L44</f>
        <v>0</v>
      </c>
      <c r="S59" s="950"/>
      <c r="T59" s="950"/>
      <c r="U59" s="950"/>
      <c r="V59" s="950"/>
      <c r="W59" s="950"/>
      <c r="X59" s="950"/>
      <c r="Y59" s="948"/>
      <c r="Z59" s="948"/>
      <c r="AA59" s="948"/>
      <c r="AB59" s="948"/>
      <c r="AC59" s="948"/>
    </row>
    <row r="60" spans="1:29" s="28" customFormat="1" ht="14.25" customHeight="1">
      <c r="A60" s="54"/>
      <c r="B60" s="218" t="s">
        <v>141</v>
      </c>
      <c r="C60" s="12"/>
      <c r="D60" s="257" t="s">
        <v>142</v>
      </c>
      <c r="E60" s="244"/>
      <c r="F60" s="244"/>
      <c r="G60" s="233"/>
      <c r="H60" s="12"/>
      <c r="I60" s="12"/>
      <c r="J60" s="220" t="str">
        <f>IF(ISERROR(Gesamtkalkulation!R52),"",Gesamtkalkulation!R52)</f>
        <v/>
      </c>
      <c r="K60" s="102" t="s">
        <v>74</v>
      </c>
      <c r="L60" s="718" t="str">
        <f>IFERROR(Gesamtkalkulation!R54,"")</f>
        <v/>
      </c>
      <c r="M60" s="61"/>
      <c r="N60" s="937" t="s">
        <v>451</v>
      </c>
      <c r="O60" s="938"/>
      <c r="P60" s="938"/>
      <c r="Q60" s="938"/>
      <c r="R60" s="939"/>
      <c r="S60" s="950"/>
      <c r="T60" s="950"/>
      <c r="U60" s="950"/>
      <c r="V60" s="950"/>
      <c r="W60" s="953"/>
      <c r="X60" s="950"/>
      <c r="Y60" s="948"/>
      <c r="Z60" s="960"/>
      <c r="AA60" s="948"/>
      <c r="AB60" s="948"/>
      <c r="AC60" s="948"/>
    </row>
    <row r="61" spans="1:29" s="28" customFormat="1" ht="9.9499999999999993" customHeight="1">
      <c r="A61" s="54"/>
      <c r="B61" s="156"/>
      <c r="C61" s="156"/>
      <c r="D61" s="156"/>
      <c r="E61" s="156"/>
      <c r="F61" s="156"/>
      <c r="G61" s="12"/>
      <c r="H61" s="12"/>
      <c r="I61" s="12"/>
      <c r="J61" s="210"/>
      <c r="K61" s="12"/>
      <c r="L61" s="210"/>
      <c r="M61" s="61"/>
      <c r="N61" s="941" t="s">
        <v>452</v>
      </c>
      <c r="O61" s="941" t="s">
        <v>453</v>
      </c>
      <c r="P61" s="942" t="s">
        <v>454</v>
      </c>
      <c r="Q61" s="943" t="s">
        <v>457</v>
      </c>
      <c r="R61" s="939"/>
      <c r="S61" s="950"/>
      <c r="T61" s="950"/>
      <c r="U61" s="950"/>
      <c r="V61" s="950"/>
      <c r="W61" s="950"/>
      <c r="X61" s="950"/>
      <c r="Y61" s="948"/>
      <c r="Z61" s="948"/>
      <c r="AA61" s="948"/>
      <c r="AB61" s="948"/>
      <c r="AC61" s="948"/>
    </row>
    <row r="62" spans="1:29" s="28" customFormat="1" ht="14.25" customHeight="1">
      <c r="A62" s="54"/>
      <c r="B62" s="12"/>
      <c r="C62" s="12"/>
      <c r="D62" s="257" t="s">
        <v>143</v>
      </c>
      <c r="E62" s="244"/>
      <c r="F62" s="244"/>
      <c r="G62" s="233"/>
      <c r="H62" s="12"/>
      <c r="I62" s="12"/>
      <c r="J62" s="220" t="str">
        <f>IF(ISERROR(Gesamtkalkulation!T52),"",Gesamtkalkulation!T52)</f>
        <v/>
      </c>
      <c r="K62" s="102" t="s">
        <v>74</v>
      </c>
      <c r="L62" s="718" t="str">
        <f>IFERROR(Gesamtkalkulation!T54,"")</f>
        <v/>
      </c>
      <c r="M62" s="61"/>
      <c r="N62" s="941">
        <v>1</v>
      </c>
      <c r="O62" s="941">
        <v>40</v>
      </c>
      <c r="P62" s="941">
        <v>0.75</v>
      </c>
      <c r="Q62" s="941">
        <f>IF($R$59&lt;41,0.75,IF($R$59&lt;81,1,IF($R$59&lt;151,1.25,IF($R$59&gt;150,2,))))</f>
        <v>0.75</v>
      </c>
      <c r="R62" s="939"/>
      <c r="S62" s="950"/>
      <c r="T62" s="950"/>
      <c r="U62" s="950"/>
      <c r="V62" s="950"/>
      <c r="W62" s="950"/>
      <c r="X62" s="950"/>
      <c r="Y62" s="948"/>
      <c r="Z62" s="948"/>
      <c r="AA62" s="948"/>
      <c r="AB62" s="948"/>
      <c r="AC62" s="948"/>
    </row>
    <row r="63" spans="1:29" s="28" customFormat="1" ht="14.25" customHeight="1">
      <c r="A63" s="54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02"/>
      <c r="M63" s="61"/>
      <c r="N63" s="941">
        <v>41</v>
      </c>
      <c r="O63" s="941">
        <v>80</v>
      </c>
      <c r="P63" s="941">
        <v>1</v>
      </c>
      <c r="Q63" s="939"/>
      <c r="R63" s="939"/>
      <c r="S63" s="950"/>
      <c r="T63" s="950"/>
      <c r="U63" s="950"/>
      <c r="V63" s="950"/>
      <c r="W63" s="950"/>
      <c r="X63" s="950"/>
      <c r="Y63" s="948"/>
      <c r="Z63" s="948"/>
      <c r="AA63" s="948"/>
      <c r="AB63" s="948"/>
      <c r="AC63" s="948"/>
    </row>
    <row r="64" spans="1:29" s="28" customFormat="1" ht="14.25" customHeight="1">
      <c r="A64" s="221"/>
      <c r="B64" s="12"/>
      <c r="C64" s="12"/>
      <c r="D64" s="12"/>
      <c r="E64" s="12"/>
      <c r="F64" s="12"/>
      <c r="G64" s="12"/>
      <c r="H64" s="12"/>
      <c r="I64" s="222"/>
      <c r="J64" s="222"/>
      <c r="K64" s="102"/>
      <c r="L64" s="102"/>
      <c r="M64" s="61"/>
      <c r="N64" s="941">
        <v>81</v>
      </c>
      <c r="O64" s="941">
        <v>150</v>
      </c>
      <c r="P64" s="941">
        <v>1.25</v>
      </c>
      <c r="Q64" s="939"/>
      <c r="R64" s="939"/>
      <c r="S64" s="950"/>
      <c r="T64" s="950"/>
      <c r="U64" s="950"/>
      <c r="V64" s="950"/>
      <c r="W64" s="950"/>
      <c r="X64" s="950"/>
      <c r="Y64" s="948"/>
      <c r="Z64" s="948"/>
      <c r="AA64" s="948"/>
      <c r="AB64" s="948"/>
      <c r="AC64" s="948"/>
    </row>
    <row r="65" spans="1:29" s="28" customFormat="1" ht="14.25" customHeight="1">
      <c r="A65" s="1029"/>
      <c r="B65" s="754"/>
      <c r="C65" s="553"/>
      <c r="D65" s="553"/>
      <c r="E65" s="553"/>
      <c r="F65" s="553"/>
      <c r="G65" s="553"/>
      <c r="H65" s="553"/>
      <c r="I65" s="755"/>
      <c r="J65" s="755"/>
      <c r="K65" s="553"/>
      <c r="L65" s="12"/>
      <c r="M65" s="61"/>
      <c r="N65" s="941">
        <v>151</v>
      </c>
      <c r="O65" s="941" t="s">
        <v>455</v>
      </c>
      <c r="P65" s="941">
        <v>2</v>
      </c>
      <c r="Q65" s="940"/>
      <c r="R65" s="966"/>
      <c r="S65" s="950"/>
      <c r="T65" s="950"/>
      <c r="U65" s="950"/>
      <c r="V65" s="950"/>
      <c r="W65" s="950"/>
      <c r="X65" s="950"/>
      <c r="Y65" s="948"/>
      <c r="Z65" s="948"/>
      <c r="AA65" s="948"/>
      <c r="AB65" s="948"/>
      <c r="AC65" s="948"/>
    </row>
    <row r="66" spans="1:29" s="28" customFormat="1" ht="14.25" customHeight="1">
      <c r="A66" s="1029"/>
      <c r="B66" s="553"/>
      <c r="C66" s="553"/>
      <c r="D66" s="1477"/>
      <c r="E66" s="1478"/>
      <c r="F66" s="1478"/>
      <c r="G66" s="1478"/>
      <c r="H66" s="553"/>
      <c r="I66" s="755"/>
      <c r="J66" s="714"/>
      <c r="K66" s="756"/>
      <c r="L66" s="102"/>
      <c r="M66" s="61"/>
      <c r="N66" s="949"/>
      <c r="O66" s="950"/>
      <c r="P66" s="950"/>
      <c r="Q66" s="950"/>
      <c r="R66" s="950"/>
      <c r="S66" s="950"/>
      <c r="T66" s="950"/>
      <c r="U66" s="950"/>
      <c r="V66" s="950"/>
      <c r="W66" s="950"/>
      <c r="X66" s="950"/>
      <c r="Y66" s="961"/>
      <c r="Z66" s="948"/>
      <c r="AA66" s="948"/>
      <c r="AB66" s="948"/>
      <c r="AC66" s="948"/>
    </row>
    <row r="67" spans="1:29" s="28" customFormat="1" ht="12.75" customHeight="1">
      <c r="A67" s="54"/>
      <c r="B67" s="223"/>
      <c r="C67" s="12"/>
      <c r="D67" s="12"/>
      <c r="E67" s="12"/>
      <c r="F67" s="12"/>
      <c r="G67" s="12"/>
      <c r="H67" s="258"/>
      <c r="I67" s="50"/>
      <c r="J67" s="50"/>
      <c r="K67" s="12"/>
      <c r="L67" s="12"/>
      <c r="M67" s="61"/>
      <c r="N67" s="934" t="s">
        <v>459</v>
      </c>
      <c r="O67" s="935"/>
      <c r="P67" s="935"/>
      <c r="Q67" s="935"/>
      <c r="R67" s="936"/>
      <c r="S67" s="950"/>
      <c r="T67" s="950"/>
      <c r="U67" s="950"/>
      <c r="V67" s="950"/>
      <c r="W67" s="950"/>
      <c r="X67" s="950"/>
      <c r="Y67" s="948"/>
      <c r="Z67" s="948"/>
      <c r="AA67" s="948"/>
      <c r="AB67" s="948"/>
      <c r="AC67" s="948"/>
    </row>
    <row r="68" spans="1:29" s="28" customFormat="1" ht="14.25" customHeight="1">
      <c r="A68" s="221"/>
      <c r="B68" s="483"/>
      <c r="C68" s="145"/>
      <c r="D68" s="145"/>
      <c r="E68" s="145"/>
      <c r="F68" s="145"/>
      <c r="G68" s="145"/>
      <c r="H68" s="259"/>
      <c r="I68" s="145"/>
      <c r="J68" s="145"/>
      <c r="K68" s="145"/>
      <c r="L68" s="145"/>
      <c r="M68" s="93"/>
      <c r="N68" s="937" t="s">
        <v>460</v>
      </c>
      <c r="O68" s="938"/>
      <c r="P68" s="938"/>
      <c r="Q68" s="941" t="str">
        <f>Q59</f>
        <v>Platzzahl LE:</v>
      </c>
      <c r="R68" s="941">
        <f>R59</f>
        <v>0</v>
      </c>
      <c r="S68" s="950"/>
      <c r="T68" s="950"/>
      <c r="U68" s="950"/>
      <c r="V68" s="950"/>
      <c r="W68" s="950"/>
      <c r="X68" s="950"/>
      <c r="Y68" s="948"/>
      <c r="Z68" s="948"/>
      <c r="AA68" s="948"/>
      <c r="AB68" s="948"/>
      <c r="AC68" s="948"/>
    </row>
    <row r="69" spans="1:29" s="28" customFormat="1" ht="12.75">
      <c r="A69" s="221"/>
      <c r="B69" s="17" t="s">
        <v>144</v>
      </c>
      <c r="C69" s="145"/>
      <c r="D69" s="145"/>
      <c r="E69" s="212"/>
      <c r="F69" s="145"/>
      <c r="G69" s="145"/>
      <c r="H69" s="260"/>
      <c r="I69" s="260"/>
      <c r="J69" s="158"/>
      <c r="K69" s="145"/>
      <c r="L69" s="145"/>
      <c r="M69" s="93"/>
      <c r="N69" s="941" t="s">
        <v>461</v>
      </c>
      <c r="O69" s="941" t="s">
        <v>462</v>
      </c>
      <c r="P69" s="941"/>
      <c r="Q69" s="938"/>
      <c r="R69" s="939"/>
      <c r="S69" s="950"/>
      <c r="T69" s="950"/>
      <c r="U69" s="954"/>
      <c r="V69" s="950"/>
      <c r="W69" s="952"/>
      <c r="X69" s="950"/>
      <c r="Y69" s="948"/>
      <c r="Z69" s="948"/>
      <c r="AA69" s="948"/>
      <c r="AB69" s="948"/>
      <c r="AC69" s="948"/>
    </row>
    <row r="70" spans="1:29" s="28" customFormat="1" ht="12.75">
      <c r="A70" s="221"/>
      <c r="B70" s="17"/>
      <c r="C70" s="145"/>
      <c r="D70" s="145"/>
      <c r="E70" s="212"/>
      <c r="F70" s="145"/>
      <c r="G70" s="145"/>
      <c r="H70" s="260"/>
      <c r="I70" s="260"/>
      <c r="J70" s="158"/>
      <c r="K70" s="145"/>
      <c r="L70" s="145"/>
      <c r="M70" s="93"/>
      <c r="N70" s="941">
        <v>33.25</v>
      </c>
      <c r="O70" s="945">
        <v>36.75</v>
      </c>
      <c r="P70" s="943"/>
      <c r="Q70" s="944"/>
      <c r="R70" s="940"/>
      <c r="S70" s="950"/>
      <c r="T70" s="950"/>
      <c r="U70" s="954"/>
      <c r="V70" s="950"/>
      <c r="W70" s="952"/>
      <c r="X70" s="950"/>
      <c r="Y70" s="948"/>
      <c r="Z70" s="948"/>
      <c r="AA70" s="948"/>
      <c r="AB70" s="948"/>
      <c r="AC70" s="948"/>
    </row>
    <row r="71" spans="1:29" s="28" customFormat="1" ht="12.75">
      <c r="A71" s="221"/>
      <c r="B71" s="17"/>
      <c r="C71" s="145"/>
      <c r="D71" s="145"/>
      <c r="E71" s="212"/>
      <c r="F71" s="145"/>
      <c r="G71" s="145"/>
      <c r="H71" s="260"/>
      <c r="I71" s="260"/>
      <c r="J71" s="158"/>
      <c r="K71" s="145"/>
      <c r="L71" s="145"/>
      <c r="M71" s="93"/>
      <c r="N71" s="951"/>
      <c r="O71" s="950"/>
      <c r="P71" s="950"/>
      <c r="Q71" s="950"/>
      <c r="R71" s="950"/>
      <c r="S71" s="950"/>
      <c r="T71" s="950"/>
      <c r="U71" s="954"/>
      <c r="V71" s="950"/>
      <c r="W71" s="952"/>
      <c r="X71" s="950"/>
      <c r="Y71" s="948"/>
      <c r="Z71" s="948"/>
      <c r="AA71" s="948"/>
      <c r="AB71" s="948"/>
      <c r="AC71" s="948"/>
    </row>
    <row r="72" spans="1:29" s="28" customFormat="1" ht="12.75">
      <c r="A72" s="221"/>
      <c r="B72" s="17"/>
      <c r="C72" s="145"/>
      <c r="D72" s="145"/>
      <c r="E72" s="212"/>
      <c r="F72" s="145"/>
      <c r="G72" s="145"/>
      <c r="H72" s="260"/>
      <c r="I72" s="260"/>
      <c r="J72" s="158"/>
      <c r="K72" s="145"/>
      <c r="L72" s="145"/>
      <c r="M72" s="93"/>
      <c r="N72" s="951"/>
      <c r="O72" s="950"/>
      <c r="P72" s="950"/>
      <c r="Q72" s="950"/>
      <c r="R72" s="950"/>
      <c r="S72" s="950"/>
      <c r="T72" s="950"/>
      <c r="U72" s="954"/>
      <c r="V72" s="950"/>
      <c r="W72" s="952"/>
      <c r="X72" s="950"/>
      <c r="Y72" s="948"/>
      <c r="Z72" s="948"/>
      <c r="AA72" s="948"/>
      <c r="AB72" s="948"/>
      <c r="AC72" s="948"/>
    </row>
    <row r="73" spans="1:29" s="28" customFormat="1" ht="12.75">
      <c r="A73" s="54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61"/>
      <c r="N73" s="951"/>
      <c r="O73" s="950"/>
      <c r="P73" s="950"/>
      <c r="Q73" s="950"/>
      <c r="R73" s="950"/>
      <c r="S73" s="950"/>
      <c r="T73" s="950"/>
      <c r="U73" s="954"/>
      <c r="V73" s="950"/>
      <c r="W73" s="952"/>
      <c r="X73" s="950"/>
      <c r="Y73" s="948"/>
      <c r="Z73" s="948"/>
      <c r="AA73" s="948"/>
      <c r="AB73" s="948"/>
      <c r="AC73" s="948"/>
    </row>
    <row r="74" spans="1:29" s="28" customFormat="1" ht="12.75">
      <c r="A74" s="54"/>
      <c r="B74" s="1486"/>
      <c r="C74" s="1486"/>
      <c r="D74" s="1486"/>
      <c r="E74" s="12"/>
      <c r="F74" s="1486"/>
      <c r="G74" s="1486"/>
      <c r="H74" s="1486"/>
      <c r="I74" s="1486"/>
      <c r="J74" s="1486"/>
      <c r="K74" s="1486"/>
      <c r="L74" s="12"/>
      <c r="M74" s="61"/>
      <c r="N74" s="951"/>
      <c r="O74" s="950"/>
      <c r="P74" s="950"/>
      <c r="Q74" s="950"/>
      <c r="R74" s="950"/>
      <c r="S74" s="950"/>
      <c r="T74" s="950"/>
      <c r="U74" s="950"/>
      <c r="V74" s="950"/>
      <c r="W74" s="950"/>
      <c r="X74" s="950"/>
      <c r="Y74" s="948"/>
      <c r="Z74" s="948"/>
      <c r="AA74" s="948"/>
      <c r="AB74" s="948"/>
      <c r="AC74" s="948"/>
    </row>
    <row r="75" spans="1:29" ht="10.5" customHeight="1">
      <c r="A75" s="3"/>
      <c r="B75" s="14" t="s">
        <v>527</v>
      </c>
      <c r="C75" s="14"/>
      <c r="D75" s="14"/>
      <c r="E75" s="9"/>
      <c r="F75" s="14" t="s">
        <v>146</v>
      </c>
      <c r="G75" s="14"/>
      <c r="H75" s="14"/>
      <c r="I75" s="9"/>
      <c r="J75" s="9"/>
      <c r="K75" s="9"/>
      <c r="L75" s="12"/>
      <c r="M75" s="5"/>
      <c r="N75" s="955"/>
      <c r="O75" s="956"/>
      <c r="P75" s="956"/>
      <c r="Q75" s="950"/>
      <c r="R75" s="950"/>
      <c r="S75" s="950"/>
      <c r="T75" s="950"/>
      <c r="U75" s="950"/>
      <c r="V75" s="950"/>
      <c r="W75" s="956"/>
      <c r="X75" s="956"/>
      <c r="Y75" s="948"/>
      <c r="Z75" s="962"/>
      <c r="AA75" s="962"/>
      <c r="AB75" s="962"/>
      <c r="AC75" s="962"/>
    </row>
    <row r="76" spans="1:29">
      <c r="A76" s="71"/>
      <c r="B76" s="1086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3"/>
      <c r="N76" s="990" t="s">
        <v>609</v>
      </c>
      <c r="O76" s="957"/>
      <c r="P76" s="957"/>
      <c r="Q76" s="957"/>
      <c r="R76" s="957"/>
      <c r="S76" s="957"/>
      <c r="T76" s="957"/>
      <c r="U76" s="957"/>
      <c r="V76" s="957"/>
      <c r="W76" s="958"/>
      <c r="X76" s="958"/>
      <c r="Y76" s="963"/>
      <c r="Z76" s="964"/>
      <c r="AA76" s="964"/>
      <c r="AB76" s="964"/>
      <c r="AC76" s="964"/>
    </row>
    <row r="77" spans="1:29" ht="15" thickBot="1">
      <c r="N77" s="1089" t="s">
        <v>614</v>
      </c>
      <c r="O77" s="958"/>
      <c r="P77" s="958"/>
      <c r="Q77" s="958"/>
      <c r="R77" s="958"/>
      <c r="S77" s="958"/>
      <c r="T77" s="958"/>
      <c r="U77" s="958"/>
      <c r="V77" s="958"/>
      <c r="W77" s="957"/>
      <c r="X77" s="958"/>
      <c r="Y77" s="963"/>
      <c r="Z77" s="964"/>
      <c r="AA77" s="964"/>
      <c r="AB77" s="964"/>
      <c r="AC77" s="964"/>
    </row>
    <row r="78" spans="1:29" ht="15" thickBot="1">
      <c r="C78" s="1349" t="s">
        <v>274</v>
      </c>
      <c r="D78" s="1350"/>
      <c r="E78" s="1350"/>
      <c r="F78" s="1350"/>
      <c r="G78" s="1350"/>
      <c r="H78" s="1350"/>
      <c r="I78" s="1351"/>
      <c r="N78" s="996" t="s">
        <v>532</v>
      </c>
      <c r="O78" s="957"/>
      <c r="P78" s="957"/>
      <c r="Q78" s="957"/>
      <c r="R78" s="957"/>
      <c r="S78" s="957"/>
      <c r="T78" s="957"/>
      <c r="U78" s="957"/>
      <c r="V78" s="957"/>
      <c r="W78" s="957"/>
      <c r="X78" s="958"/>
      <c r="Y78" s="963"/>
      <c r="Z78" s="964"/>
      <c r="AA78" s="964"/>
      <c r="AB78" s="964"/>
      <c r="AC78" s="964"/>
    </row>
    <row r="79" spans="1:29">
      <c r="N79" s="957"/>
      <c r="O79" s="957"/>
      <c r="P79" s="957"/>
      <c r="Q79" s="957"/>
      <c r="R79" s="957"/>
      <c r="S79" s="957"/>
      <c r="T79" s="957"/>
      <c r="U79" s="957"/>
      <c r="V79" s="957"/>
      <c r="W79" s="957"/>
      <c r="X79" s="958"/>
      <c r="Y79" s="963"/>
      <c r="Z79" s="964"/>
      <c r="AA79" s="964"/>
      <c r="AB79" s="964"/>
      <c r="AC79" s="964"/>
    </row>
    <row r="80" spans="1:29">
      <c r="N80" s="1153" t="s">
        <v>654</v>
      </c>
      <c r="O80" s="1137"/>
      <c r="P80" s="1137"/>
      <c r="Q80" s="1138"/>
      <c r="R80" s="958"/>
      <c r="S80" s="958"/>
      <c r="T80" s="958"/>
      <c r="U80" s="958"/>
      <c r="V80" s="958"/>
      <c r="W80" s="958"/>
      <c r="X80" s="958"/>
      <c r="Y80" s="964"/>
      <c r="Z80" s="964"/>
      <c r="AA80" s="964"/>
      <c r="AB80" s="964"/>
      <c r="AC80" s="964"/>
    </row>
    <row r="81" spans="2:24" ht="24">
      <c r="N81" s="1139" t="s">
        <v>653</v>
      </c>
      <c r="O81" s="1143" t="s">
        <v>651</v>
      </c>
      <c r="P81" s="1148" t="s">
        <v>649</v>
      </c>
      <c r="Q81" s="1147" t="s">
        <v>652</v>
      </c>
      <c r="R81" s="270"/>
      <c r="S81" s="270"/>
      <c r="T81" s="389"/>
      <c r="U81" s="389"/>
      <c r="V81" s="389"/>
      <c r="W81" s="389"/>
      <c r="X81" s="389"/>
    </row>
    <row r="82" spans="2:24">
      <c r="N82" s="1140"/>
      <c r="O82" s="1144">
        <v>1.05</v>
      </c>
      <c r="P82" s="1149" t="s">
        <v>650</v>
      </c>
      <c r="Q82" s="1144">
        <v>0.95</v>
      </c>
      <c r="R82" s="270"/>
      <c r="S82" s="933"/>
      <c r="T82" s="389"/>
      <c r="U82" s="389"/>
      <c r="V82" s="389"/>
      <c r="W82" s="389"/>
      <c r="X82" s="389"/>
    </row>
    <row r="83" spans="2:24">
      <c r="N83" s="1139" t="s">
        <v>340</v>
      </c>
      <c r="O83" s="1145">
        <f>ROUND(P83*$O$82,2)</f>
        <v>8.4</v>
      </c>
      <c r="P83" s="1145">
        <v>8</v>
      </c>
      <c r="Q83" s="1145">
        <f>ROUND(P83*$Q$82,2)</f>
        <v>7.6</v>
      </c>
      <c r="R83" s="270"/>
      <c r="S83" s="967"/>
      <c r="T83" s="926"/>
      <c r="U83" s="926"/>
      <c r="V83" s="926"/>
      <c r="W83" s="926"/>
      <c r="X83" s="926"/>
    </row>
    <row r="84" spans="2:24">
      <c r="N84" s="1139" t="s">
        <v>344</v>
      </c>
      <c r="O84" s="1145">
        <f t="shared" ref="O84:O89" si="3">ROUND(P84*$O$82,2)</f>
        <v>4.57</v>
      </c>
      <c r="P84" s="1145">
        <v>4.3499999999999996</v>
      </c>
      <c r="Q84" s="1145">
        <f t="shared" ref="Q84:Q89" si="4">ROUND(P84*$Q$82,2)</f>
        <v>4.13</v>
      </c>
      <c r="R84" s="270"/>
      <c r="S84" s="933"/>
      <c r="T84" s="926"/>
      <c r="U84" s="926"/>
      <c r="V84" s="926"/>
      <c r="W84" s="926"/>
      <c r="X84" s="926"/>
    </row>
    <row r="85" spans="2:24">
      <c r="N85" s="1139" t="s">
        <v>343</v>
      </c>
      <c r="O85" s="1145">
        <f t="shared" si="3"/>
        <v>2.94</v>
      </c>
      <c r="P85" s="1145">
        <v>2.8</v>
      </c>
      <c r="Q85" s="1145">
        <f t="shared" si="4"/>
        <v>2.66</v>
      </c>
      <c r="R85" s="270"/>
      <c r="S85" s="933"/>
      <c r="T85" s="926"/>
      <c r="U85" s="926"/>
      <c r="V85" s="926"/>
      <c r="W85" s="926"/>
      <c r="X85" s="926"/>
    </row>
    <row r="86" spans="2:24">
      <c r="B86" s="753"/>
      <c r="N86" s="1139" t="s">
        <v>342</v>
      </c>
      <c r="O86" s="1145">
        <f t="shared" si="3"/>
        <v>2.21</v>
      </c>
      <c r="P86" s="1145">
        <v>2.1</v>
      </c>
      <c r="Q86" s="1145">
        <f t="shared" si="4"/>
        <v>2</v>
      </c>
      <c r="R86" s="270"/>
      <c r="S86" s="933"/>
      <c r="T86" s="926"/>
      <c r="U86" s="926"/>
      <c r="V86" s="926"/>
      <c r="W86" s="926"/>
      <c r="X86" s="926"/>
    </row>
    <row r="87" spans="2:24">
      <c r="N87" s="1139" t="s">
        <v>341</v>
      </c>
      <c r="O87" s="1145">
        <f t="shared" si="3"/>
        <v>2.0499999999999998</v>
      </c>
      <c r="P87" s="1145">
        <v>1.95</v>
      </c>
      <c r="Q87" s="1145">
        <f t="shared" si="4"/>
        <v>1.85</v>
      </c>
      <c r="R87" s="270"/>
      <c r="S87" s="933"/>
      <c r="T87" s="926"/>
      <c r="U87" s="926"/>
      <c r="V87" s="926"/>
      <c r="W87" s="926"/>
      <c r="X87" s="926"/>
    </row>
    <row r="88" spans="2:24">
      <c r="N88" s="1150"/>
      <c r="O88" s="1151"/>
      <c r="P88" s="1151"/>
      <c r="Q88" s="1152"/>
      <c r="R88" s="270"/>
      <c r="S88" s="933"/>
      <c r="T88" s="926"/>
      <c r="U88" s="926"/>
      <c r="V88" s="926"/>
      <c r="W88" s="926"/>
      <c r="X88" s="926"/>
    </row>
    <row r="89" spans="2:24">
      <c r="N89" s="1140" t="s">
        <v>224</v>
      </c>
      <c r="O89" s="1146">
        <f t="shared" si="3"/>
        <v>36.75</v>
      </c>
      <c r="P89" s="1146">
        <v>35</v>
      </c>
      <c r="Q89" s="1146">
        <f t="shared" si="4"/>
        <v>33.25</v>
      </c>
      <c r="R89" s="270"/>
      <c r="S89" s="933"/>
      <c r="T89" s="926"/>
      <c r="U89" s="926"/>
      <c r="V89" s="926"/>
      <c r="W89" s="926"/>
      <c r="X89" s="926"/>
    </row>
    <row r="90" spans="2:24">
      <c r="N90" s="1140"/>
      <c r="O90" s="1141"/>
      <c r="P90" s="1141"/>
      <c r="Q90" s="1142"/>
      <c r="R90" s="933"/>
      <c r="S90" s="933"/>
      <c r="T90" s="389"/>
      <c r="U90" s="389"/>
      <c r="V90" s="389"/>
      <c r="W90" s="389"/>
      <c r="X90" s="389"/>
    </row>
    <row r="91" spans="2:24">
      <c r="N91" s="270"/>
      <c r="O91" s="270"/>
      <c r="P91" s="270"/>
      <c r="Q91" s="270"/>
      <c r="R91" s="270"/>
      <c r="S91" s="270"/>
      <c r="T91" s="389"/>
      <c r="U91" s="389"/>
      <c r="V91" s="389"/>
      <c r="W91" s="389"/>
      <c r="X91" s="389"/>
    </row>
    <row r="92" spans="2:24">
      <c r="N92" s="270"/>
      <c r="O92" s="270"/>
      <c r="P92" s="270"/>
      <c r="Q92" s="270"/>
      <c r="R92" s="270"/>
      <c r="S92" s="270"/>
      <c r="T92" s="389"/>
      <c r="U92" s="389"/>
      <c r="V92" s="389"/>
      <c r="W92" s="389"/>
      <c r="X92" s="389"/>
    </row>
    <row r="93" spans="2:24">
      <c r="N93" s="931"/>
      <c r="O93" s="931"/>
      <c r="P93" s="931"/>
      <c r="Q93" s="931"/>
      <c r="R93" s="931"/>
      <c r="S93" s="931"/>
      <c r="T93" s="389"/>
      <c r="U93" s="389"/>
      <c r="V93" s="389"/>
      <c r="W93" s="389"/>
      <c r="X93" s="389"/>
    </row>
    <row r="94" spans="2:24">
      <c r="N94" s="389"/>
      <c r="O94" s="389"/>
      <c r="P94" s="389"/>
      <c r="Q94" s="389"/>
      <c r="R94" s="389"/>
      <c r="S94" s="931"/>
      <c r="T94" s="389"/>
      <c r="U94" s="389"/>
      <c r="V94" s="389"/>
      <c r="W94" s="389"/>
      <c r="X94" s="389"/>
    </row>
    <row r="95" spans="2:24">
      <c r="N95" s="389"/>
      <c r="O95" s="389"/>
      <c r="P95" s="389"/>
      <c r="Q95" s="389"/>
      <c r="R95" s="389"/>
      <c r="S95" s="931"/>
      <c r="T95" s="389"/>
      <c r="U95" s="389"/>
      <c r="V95" s="389"/>
      <c r="W95" s="389"/>
      <c r="X95" s="389"/>
    </row>
    <row r="96" spans="2:24">
      <c r="N96" s="389"/>
      <c r="O96" s="389"/>
      <c r="P96" s="389"/>
      <c r="Q96" s="389"/>
      <c r="R96" s="389"/>
      <c r="S96" s="931"/>
      <c r="T96" s="389"/>
      <c r="U96" s="389"/>
      <c r="V96" s="389"/>
      <c r="W96" s="389"/>
      <c r="X96" s="389"/>
    </row>
    <row r="97" spans="14:24">
      <c r="N97" s="389"/>
      <c r="O97" s="389"/>
      <c r="P97" s="389"/>
      <c r="Q97" s="389"/>
      <c r="R97" s="389"/>
      <c r="S97" s="931"/>
      <c r="T97" s="389"/>
      <c r="U97" s="389"/>
      <c r="V97" s="389"/>
      <c r="W97" s="389"/>
      <c r="X97" s="389"/>
    </row>
    <row r="98" spans="14:24">
      <c r="N98" s="931"/>
      <c r="O98" s="931"/>
      <c r="P98" s="931"/>
      <c r="Q98" s="931"/>
      <c r="R98" s="931"/>
      <c r="S98" s="931"/>
      <c r="T98" s="389"/>
      <c r="U98" s="389"/>
      <c r="V98" s="389"/>
      <c r="W98" s="389"/>
      <c r="X98" s="389"/>
    </row>
    <row r="99" spans="14:24">
      <c r="N99" s="928"/>
      <c r="O99" s="927"/>
      <c r="P99" s="927"/>
      <c r="Q99" s="927"/>
      <c r="R99" s="927"/>
      <c r="S99" s="389"/>
      <c r="T99" s="389"/>
      <c r="U99" s="389"/>
      <c r="V99" s="389"/>
      <c r="W99" s="389"/>
      <c r="X99" s="389"/>
    </row>
    <row r="100" spans="14:24">
      <c r="N100" s="927"/>
      <c r="O100" s="927"/>
      <c r="P100" s="927"/>
      <c r="Q100" s="927"/>
      <c r="R100" s="927"/>
      <c r="S100" s="389"/>
      <c r="T100" s="389"/>
      <c r="U100" s="389"/>
      <c r="V100" s="389"/>
      <c r="W100" s="389"/>
      <c r="X100" s="389"/>
    </row>
    <row r="101" spans="14:24">
      <c r="N101" s="929"/>
      <c r="O101" s="929"/>
      <c r="P101" s="929"/>
      <c r="Q101" s="930"/>
      <c r="R101" s="927"/>
      <c r="S101" s="389"/>
      <c r="T101" s="389"/>
      <c r="U101" s="389"/>
      <c r="V101" s="389"/>
      <c r="W101" s="389"/>
      <c r="X101" s="389"/>
    </row>
    <row r="102" spans="14:24">
      <c r="N102" s="929"/>
      <c r="O102" s="929"/>
      <c r="P102" s="929"/>
      <c r="Q102" s="930"/>
      <c r="R102" s="927"/>
      <c r="S102" s="389"/>
      <c r="T102" s="389"/>
      <c r="U102" s="389"/>
      <c r="V102" s="389"/>
      <c r="W102" s="389"/>
      <c r="X102" s="389"/>
    </row>
    <row r="103" spans="14:24">
      <c r="N103" s="929"/>
      <c r="O103" s="929"/>
      <c r="P103" s="929"/>
      <c r="Q103" s="930"/>
      <c r="R103" s="927"/>
      <c r="S103" s="389"/>
      <c r="T103" s="389"/>
      <c r="U103" s="389"/>
      <c r="V103" s="389"/>
      <c r="W103" s="389"/>
      <c r="X103" s="389"/>
    </row>
    <row r="104" spans="14:24">
      <c r="N104" s="929"/>
      <c r="O104" s="929"/>
      <c r="P104" s="929"/>
      <c r="Q104" s="930"/>
      <c r="R104" s="927"/>
      <c r="S104" s="389"/>
      <c r="T104" s="389"/>
      <c r="U104" s="389"/>
      <c r="V104" s="389"/>
      <c r="W104" s="389"/>
      <c r="X104" s="389"/>
    </row>
    <row r="105" spans="14:24">
      <c r="N105" s="779"/>
      <c r="O105" s="779"/>
      <c r="P105" s="779"/>
      <c r="Q105" s="780"/>
      <c r="R105" s="769"/>
    </row>
  </sheetData>
  <sheetProtection algorithmName="SHA-512" hashValue="k20j0m7xex++SQUiIdPIqCjWDci/04iec4bf2oXyMZidu5vl81+5iTXxuvvEudqI+WQgw0GlgsQoiIfE2bK8hg==" saltValue="bFQStgUlX0+UcdZoPKjUuw==" spinCount="100000" sheet="1" objects="1" scenarios="1"/>
  <mergeCells count="13">
    <mergeCell ref="Q29:Q30"/>
    <mergeCell ref="R15:V15"/>
    <mergeCell ref="Q24:Q27"/>
    <mergeCell ref="C78:I78"/>
    <mergeCell ref="F74:K74"/>
    <mergeCell ref="B74:D74"/>
    <mergeCell ref="F21:G21"/>
    <mergeCell ref="A1:M1"/>
    <mergeCell ref="A2:M2"/>
    <mergeCell ref="A3:M3"/>
    <mergeCell ref="D66:G66"/>
    <mergeCell ref="L40:L42"/>
    <mergeCell ref="K4:L4"/>
  </mergeCells>
  <conditionalFormatting sqref="L26">
    <cfRule type="expression" dxfId="51" priority="46">
      <formula>$L$26=0</formula>
    </cfRule>
  </conditionalFormatting>
  <conditionalFormatting sqref="J21">
    <cfRule type="expression" dxfId="50" priority="45">
      <formula>$J$21=0</formula>
    </cfRule>
  </conditionalFormatting>
  <conditionalFormatting sqref="F21">
    <cfRule type="expression" dxfId="49" priority="44">
      <formula>$F$21=0</formula>
    </cfRule>
  </conditionalFormatting>
  <conditionalFormatting sqref="L9:L18">
    <cfRule type="containsText" dxfId="48" priority="36" operator="containsText" text="FALSCH">
      <formula>NOT(ISERROR(SEARCH("FALSCH",L9)))</formula>
    </cfRule>
    <cfRule type="containsErrors" dxfId="47" priority="37">
      <formula>ISERROR(L9)</formula>
    </cfRule>
  </conditionalFormatting>
  <conditionalFormatting sqref="J49">
    <cfRule type="containsText" dxfId="46" priority="35" operator="containsText" text="FALSCH">
      <formula>NOT(ISERROR(SEARCH("FALSCH",J49)))</formula>
    </cfRule>
  </conditionalFormatting>
  <conditionalFormatting sqref="J51">
    <cfRule type="containsText" dxfId="45" priority="34" operator="containsText" text="FALSCH">
      <formula>NOT(ISERROR(SEARCH("FALSCH",J51)))</formula>
    </cfRule>
  </conditionalFormatting>
  <conditionalFormatting sqref="J53">
    <cfRule type="containsText" dxfId="44" priority="33" operator="containsText" text="FALSCH">
      <formula>NOT(ISERROR(SEARCH("FALSCH",J53)))</formula>
    </cfRule>
  </conditionalFormatting>
  <conditionalFormatting sqref="L45">
    <cfRule type="containsText" dxfId="43" priority="17" operator="containsText" text="FALSCH">
      <formula>NOT(ISERROR(SEARCH("FALSCH",L45)))</formula>
    </cfRule>
  </conditionalFormatting>
  <conditionalFormatting sqref="L19:L20">
    <cfRule type="expression" dxfId="42" priority="4">
      <formula>$L$26=0</formula>
    </cfRule>
  </conditionalFormatting>
  <conditionalFormatting sqref="K24">
    <cfRule type="expression" priority="2">
      <formula>IF($B$25="",)</formula>
    </cfRule>
  </conditionalFormatting>
  <dataValidations xWindow="752" yWindow="488" count="4">
    <dataValidation allowBlank="1" showInputMessage="1" showErrorMessage="1" promptTitle="nachrichtliche Angabe" prompt="Eintragung nur bei Wohnpflegeheimen" sqref="J38"/>
    <dataValidation type="whole" errorStyle="information" allowBlank="1" showInputMessage="1" showErrorMessage="1" error="ganze Zahl eingeben" promptTitle="Eingabe" prompt="ganze Zahl" sqref="J36">
      <formula1>0</formula1>
      <formula2>20</formula2>
    </dataValidation>
    <dataValidation allowBlank="1" showInputMessage="1" showErrorMessage="1" prompt="analog Rahmenvertrags- _x000a_empflehlung, Abweichungen bitte begründen" sqref="L20"/>
    <dataValidation allowBlank="1" showInputMessage="1" showErrorMessage="1" prompt=" laut Rahmen-_x000a_vertrag" sqref="L19"/>
  </dataValidations>
  <hyperlinks>
    <hyperlink ref="C78" location="'Anlage 1'!A1" display="Anlage 1"/>
    <hyperlink ref="C78:I78" location="Gesamtkalkulation!A1" display="gehe weiter zu B_Gesamtkalkulation"/>
  </hyperlinks>
  <pageMargins left="0.70866141732283472" right="0.70866141732283472" top="0.78740157480314965" bottom="0.78740157480314965" header="0.31496062992125984" footer="0.31496062992125984"/>
  <pageSetup paperSize="9" scale="75" orientation="portrait"/>
  <headerFooter>
    <oddHeader>&amp;C&amp;9Seite 5</oddHeader>
    <oddFooter>&amp;L&amp;8Version: 15.01.2020&amp;C&amp;8Verhandlungsunterlagen SGB XI&amp;R&amp;8PSK-Beschluss Nr. 3/2019 vom 19.09.2019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7" id="{D4143F09-EF3B-4E7C-B9D1-ABBB019B4922}">
            <xm:f>'Allgemeine Angaben'!$E$7&lt;&gt;"wph"</xm:f>
            <x14:dxf>
              <font>
                <color theme="0"/>
              </font>
              <fill>
                <patternFill>
                  <fgColor theme="0"/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B39:L39</xm:sqref>
        </x14:conditionalFormatting>
        <x14:conditionalFormatting xmlns:xm="http://schemas.microsoft.com/office/excel/2006/main">
          <x14:cfRule type="expression" priority="26" id="{F4F8F9D8-D8B1-4692-BA18-63D81460D5EE}">
            <xm:f>Wennoder('Allgemeine Angaben'!$L$45&lt;0,'Allgemeine Angaben'!$L$45=0)</xm:f>
            <x14:dxf>
              <font>
                <color theme="0"/>
              </font>
              <fill>
                <patternFill patternType="none">
                  <bgColor auto="1"/>
                </patternFill>
              </fill>
              <border>
                <vertical/>
                <horizontal/>
              </border>
            </x14:dxf>
          </x14:cfRule>
          <xm:sqref>L40:L42</xm:sqref>
        </x14:conditionalFormatting>
        <x14:conditionalFormatting xmlns:xm="http://schemas.microsoft.com/office/excel/2006/main">
          <x14:cfRule type="expression" priority="16" id="{0B6168FF-471D-4DF3-9A46-C064842344E8}">
            <xm:f>'Allgemeine Angaben'!$L$45&gt;0</xm:f>
            <x14:dxf>
              <font>
                <color auto="1"/>
              </font>
              <fill>
                <patternFill>
                  <bgColor theme="0" tint="-4.9989318521683403E-2"/>
                </patternFill>
              </fill>
              <border>
                <bottom style="thin">
                  <color auto="1"/>
                </bottom>
                <vertical/>
                <horizontal/>
              </border>
            </x14:dxf>
          </x14:cfRule>
          <xm:sqref>L45</xm:sqref>
        </x14:conditionalFormatting>
        <x14:conditionalFormatting xmlns:xm="http://schemas.microsoft.com/office/excel/2006/main">
          <x14:cfRule type="expression" priority="15" id="{B11BCA33-0111-4752-9C52-7643B714BA5C}">
            <xm:f>'Allgemeine Angaben'!$L$45&gt;0</xm:f>
            <x14:dxf>
              <font>
                <color auto="1"/>
              </font>
              <fill>
                <patternFill>
                  <bgColor theme="0" tint="-4.9989318521683403E-2"/>
                </patternFill>
              </fill>
              <border>
                <bottom style="thin">
                  <color auto="1"/>
                </bottom>
                <vertical/>
                <horizontal/>
              </border>
            </x14:dxf>
          </x14:cfRule>
          <xm:sqref>L47</xm:sqref>
        </x14:conditionalFormatting>
        <x14:conditionalFormatting xmlns:xm="http://schemas.microsoft.com/office/excel/2006/main">
          <x14:cfRule type="expression" priority="14" id="{125241C6-4E23-4B1E-87E4-DB6E4B9E8C75}">
            <xm:f>'Allgemeine Angaben'!$L$45&gt;0</xm:f>
            <x14:dxf>
              <font>
                <color auto="1"/>
              </font>
              <fill>
                <patternFill>
                  <bgColor theme="0" tint="-4.9989318521683403E-2"/>
                </patternFill>
              </fill>
              <border>
                <bottom style="thin">
                  <color auto="1"/>
                </bottom>
                <vertical/>
                <horizontal/>
              </border>
            </x14:dxf>
          </x14:cfRule>
          <xm:sqref>L49</xm:sqref>
        </x14:conditionalFormatting>
        <x14:conditionalFormatting xmlns:xm="http://schemas.microsoft.com/office/excel/2006/main">
          <x14:cfRule type="expression" priority="13" id="{640EA40C-D139-43B2-84CA-9C2275B0FDBD}">
            <xm:f>'Allgemeine Angaben'!$L$45&gt;0</xm:f>
            <x14:dxf>
              <font>
                <color auto="1"/>
              </font>
              <fill>
                <patternFill>
                  <bgColor theme="0" tint="-4.9989318521683403E-2"/>
                </patternFill>
              </fill>
              <border>
                <bottom style="thin">
                  <color auto="1"/>
                </bottom>
                <vertical/>
                <horizontal/>
              </border>
            </x14:dxf>
          </x14:cfRule>
          <xm:sqref>L51</xm:sqref>
        </x14:conditionalFormatting>
        <x14:conditionalFormatting xmlns:xm="http://schemas.microsoft.com/office/excel/2006/main">
          <x14:cfRule type="expression" priority="12" id="{0DBC7037-D8EC-42EC-884B-873708345477}">
            <xm:f>'Allgemeine Angaben'!$L$45&gt;0</xm:f>
            <x14:dxf>
              <font>
                <color auto="1"/>
              </font>
              <fill>
                <patternFill>
                  <bgColor theme="0" tint="-4.9989318521683403E-2"/>
                </patternFill>
              </fill>
              <border>
                <bottom style="thin">
                  <color auto="1"/>
                </bottom>
                <vertical/>
                <horizontal/>
              </border>
            </x14:dxf>
          </x14:cfRule>
          <xm:sqref>L53</xm:sqref>
        </x14:conditionalFormatting>
        <x14:conditionalFormatting xmlns:xm="http://schemas.microsoft.com/office/excel/2006/main">
          <x14:cfRule type="expression" priority="10" id="{11892ED4-AFBD-4190-A03A-FBCA6A66624D}">
            <xm:f>'Allgemeine Angaben'!$L$45&gt;0</xm:f>
            <x14:dxf>
              <font>
                <color auto="1"/>
              </font>
              <fill>
                <patternFill>
                  <bgColor theme="0" tint="-4.9989318521683403E-2"/>
                </patternFill>
              </fill>
              <border>
                <bottom style="thin">
                  <color auto="1"/>
                </bottom>
                <vertical/>
                <horizontal/>
              </border>
            </x14:dxf>
          </x14:cfRule>
          <xm:sqref>L58</xm:sqref>
        </x14:conditionalFormatting>
        <x14:conditionalFormatting xmlns:xm="http://schemas.microsoft.com/office/excel/2006/main">
          <x14:cfRule type="expression" priority="9" id="{1CBD52C3-28FB-42E1-A7C0-1232D0FCE734}">
            <xm:f>'Allgemeine Angaben'!$L$45&gt;0</xm:f>
            <x14:dxf>
              <font>
                <color auto="1"/>
              </font>
              <fill>
                <patternFill>
                  <bgColor theme="0" tint="-4.9989318521683403E-2"/>
                </patternFill>
              </fill>
              <border>
                <bottom style="thin">
                  <color auto="1"/>
                </bottom>
                <vertical/>
                <horizontal/>
              </border>
            </x14:dxf>
          </x14:cfRule>
          <xm:sqref>L60</xm:sqref>
        </x14:conditionalFormatting>
        <x14:conditionalFormatting xmlns:xm="http://schemas.microsoft.com/office/excel/2006/main">
          <x14:cfRule type="expression" priority="8" id="{EEFD4FDC-DCAB-4479-8308-54AAE076C21A}">
            <xm:f>'Allgemeine Angaben'!$L$45&gt;0</xm:f>
            <x14:dxf>
              <font>
                <color auto="1"/>
              </font>
              <fill>
                <patternFill>
                  <bgColor theme="0" tint="-4.9989318521683403E-2"/>
                </patternFill>
              </fill>
              <border>
                <bottom style="thin">
                  <color auto="1"/>
                </bottom>
                <vertical/>
                <horizontal/>
              </border>
            </x14:dxf>
          </x14:cfRule>
          <xm:sqref>L62</xm:sqref>
        </x14:conditionalFormatting>
        <x14:conditionalFormatting xmlns:xm="http://schemas.microsoft.com/office/excel/2006/main">
          <x14:cfRule type="expression" priority="1" id="{CECDC404-318E-4DBD-9727-355F937B53BB}">
            <xm:f>'Allgemeine Angaben'!$L$44&lt;1</xm:f>
            <x14:dxf>
              <font>
                <color theme="0"/>
              </font>
            </x14:dxf>
          </x14:cfRule>
          <xm:sqref>B20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AH62"/>
  <sheetViews>
    <sheetView showGridLines="0" zoomScaleNormal="100" workbookViewId="0">
      <pane xSplit="3" ySplit="15" topLeftCell="D16" activePane="bottomRight" state="frozen"/>
      <selection pane="topRight" activeCell="D1" sqref="D1"/>
      <selection pane="bottomLeft" activeCell="A16" sqref="A16"/>
      <selection pane="bottomRight" activeCell="D6" sqref="D6"/>
    </sheetView>
  </sheetViews>
  <sheetFormatPr baseColWidth="10" defaultRowHeight="14.25"/>
  <cols>
    <col min="1" max="1" width="2.125" style="4" customWidth="1"/>
    <col min="2" max="2" width="5.625" style="4" customWidth="1"/>
    <col min="3" max="3" width="34.5" style="4" customWidth="1"/>
    <col min="4" max="4" width="16.625" style="4" customWidth="1"/>
    <col min="5" max="6" width="11.625" style="4" hidden="1" customWidth="1"/>
    <col min="7" max="7" width="12.625" style="4" hidden="1" customWidth="1"/>
    <col min="8" max="8" width="13.625" style="4" customWidth="1"/>
    <col min="9" max="9" width="12.625" style="28" hidden="1" customWidth="1"/>
    <col min="10" max="10" width="13.625" style="4" customWidth="1"/>
    <col min="11" max="11" width="12.625" style="28" hidden="1" customWidth="1"/>
    <col min="12" max="12" width="13.625" style="4" customWidth="1"/>
    <col min="13" max="13" width="12.625" style="4" hidden="1" customWidth="1"/>
    <col min="14" max="14" width="13.625" style="4" customWidth="1"/>
    <col min="15" max="15" width="12.625" style="4" hidden="1" customWidth="1"/>
    <col min="16" max="16" width="13.625" style="4" customWidth="1"/>
    <col min="17" max="17" width="12.625" style="28" hidden="1" customWidth="1"/>
    <col min="18" max="18" width="13.625" style="4" customWidth="1"/>
    <col min="19" max="19" width="12.625" style="4" hidden="1" customWidth="1"/>
    <col min="20" max="20" width="13.625" style="4" customWidth="1"/>
    <col min="21" max="21" width="12.625" style="4" hidden="1" customWidth="1"/>
    <col min="22" max="22" width="13.625" style="4" customWidth="1"/>
    <col min="23" max="23" width="2.125" style="4" customWidth="1"/>
    <col min="24" max="24" width="11" style="4"/>
    <col min="25" max="25" width="13.125" style="864" hidden="1" customWidth="1"/>
    <col min="26" max="28" width="11" style="864" hidden="1" customWidth="1"/>
    <col min="29" max="29" width="11" style="389" hidden="1" customWidth="1"/>
    <col min="30" max="16384" width="11" style="4"/>
  </cols>
  <sheetData>
    <row r="1" spans="1:27" ht="15" customHeight="1">
      <c r="A1" s="1334" t="str">
        <f>'Allgemeine Angaben'!A1:N1</f>
        <v>Aufforderung zum Abschluss einer Pflegesatzvereinbarung gemäß §§ 84, 85 SGB XI</v>
      </c>
      <c r="B1" s="1335"/>
      <c r="C1" s="1335"/>
      <c r="D1" s="1335"/>
      <c r="E1" s="1335"/>
      <c r="F1" s="1335"/>
      <c r="G1" s="1335"/>
      <c r="H1" s="1335"/>
      <c r="I1" s="1428"/>
      <c r="J1" s="1428"/>
      <c r="K1" s="1428"/>
      <c r="L1" s="1428"/>
      <c r="M1" s="1428"/>
      <c r="N1" s="1428"/>
      <c r="O1" s="1428"/>
      <c r="P1" s="1428"/>
      <c r="Q1" s="1428"/>
      <c r="R1" s="1428"/>
      <c r="S1" s="1428"/>
      <c r="T1" s="1428"/>
      <c r="U1" s="1418"/>
      <c r="V1" s="1418"/>
      <c r="W1" s="1419"/>
      <c r="X1" s="721"/>
      <c r="Y1" s="866" t="s">
        <v>506</v>
      </c>
      <c r="Z1" s="1177">
        <v>43690</v>
      </c>
      <c r="AA1" s="1195">
        <v>43699</v>
      </c>
    </row>
    <row r="2" spans="1:27" ht="15" customHeight="1">
      <c r="A2" s="1337" t="s">
        <v>147</v>
      </c>
      <c r="B2" s="1338"/>
      <c r="C2" s="1338"/>
      <c r="D2" s="1338"/>
      <c r="E2" s="1338"/>
      <c r="F2" s="1338"/>
      <c r="G2" s="1338"/>
      <c r="H2" s="1338"/>
      <c r="I2" s="1430"/>
      <c r="J2" s="1430"/>
      <c r="K2" s="1430"/>
      <c r="L2" s="1430"/>
      <c r="M2" s="1430"/>
      <c r="N2" s="1430"/>
      <c r="O2" s="1430"/>
      <c r="P2" s="1430"/>
      <c r="Q2" s="1430"/>
      <c r="R2" s="1430"/>
      <c r="S2" s="1430"/>
      <c r="T2" s="1430"/>
      <c r="U2" s="1436"/>
      <c r="V2" s="1436"/>
      <c r="W2" s="1421"/>
      <c r="X2" s="733"/>
      <c r="Y2" s="1060">
        <v>43620</v>
      </c>
      <c r="Z2" s="1212">
        <v>43711</v>
      </c>
    </row>
    <row r="3" spans="1:27" ht="15" customHeight="1">
      <c r="A3" s="1363" t="str">
        <f>'Allgemeine Angaben'!A3:N3</f>
        <v/>
      </c>
      <c r="B3" s="1364"/>
      <c r="C3" s="1364"/>
      <c r="D3" s="1364"/>
      <c r="E3" s="1364"/>
      <c r="F3" s="1364"/>
      <c r="G3" s="1364"/>
      <c r="H3" s="1364"/>
      <c r="I3" s="1432"/>
      <c r="J3" s="1430"/>
      <c r="K3" s="1430"/>
      <c r="L3" s="1430"/>
      <c r="M3" s="1430"/>
      <c r="N3" s="1430"/>
      <c r="O3" s="1430"/>
      <c r="P3" s="1430"/>
      <c r="Q3" s="1430"/>
      <c r="R3" s="1430"/>
      <c r="S3" s="1430"/>
      <c r="T3" s="1430"/>
      <c r="U3" s="1436"/>
      <c r="V3" s="1436"/>
      <c r="W3" s="1421"/>
      <c r="X3" s="261"/>
      <c r="Y3" s="1090">
        <v>43622</v>
      </c>
    </row>
    <row r="4" spans="1:27" ht="15" customHeight="1">
      <c r="A4" s="1054"/>
      <c r="B4" s="1055" t="str">
        <f>'Allgemeine Angaben'!B4</f>
        <v/>
      </c>
      <c r="C4" s="1055"/>
      <c r="D4" s="1055"/>
      <c r="E4" s="1055"/>
      <c r="F4" s="1055"/>
      <c r="G4" s="1055"/>
      <c r="H4" s="1055"/>
      <c r="I4" s="1055"/>
      <c r="J4" s="1055"/>
      <c r="K4" s="1055"/>
      <c r="L4" s="1055"/>
      <c r="M4" s="1055"/>
      <c r="N4" s="1059" t="str">
        <f>'Allgemeine Angaben'!K4</f>
        <v>Antrag vom:</v>
      </c>
      <c r="O4" s="1055"/>
      <c r="P4" s="1058">
        <f>'Allgemeine Angaben'!L4</f>
        <v>0</v>
      </c>
      <c r="Q4" s="1055"/>
      <c r="R4" s="1055"/>
      <c r="S4" s="1055"/>
      <c r="T4" s="1055"/>
      <c r="U4" s="1055"/>
      <c r="V4" s="1055"/>
      <c r="W4" s="1056"/>
      <c r="X4" s="150"/>
    </row>
    <row r="5" spans="1:27" ht="14.25" customHeight="1">
      <c r="A5" s="3"/>
      <c r="B5" s="262"/>
      <c r="C5" s="246"/>
      <c r="D5" s="246"/>
      <c r="E5" s="263" t="s">
        <v>148</v>
      </c>
      <c r="F5" s="263"/>
      <c r="G5" s="388"/>
      <c r="H5" s="160"/>
      <c r="I5" s="407"/>
      <c r="J5" s="216" t="s">
        <v>204</v>
      </c>
      <c r="K5" s="407"/>
      <c r="L5" s="1057" t="s">
        <v>205</v>
      </c>
      <c r="M5" s="388"/>
      <c r="N5" s="216" t="s">
        <v>230</v>
      </c>
      <c r="O5" s="388"/>
      <c r="P5" s="216" t="s">
        <v>151</v>
      </c>
      <c r="Q5" s="407"/>
      <c r="R5" s="160"/>
      <c r="S5" s="388"/>
      <c r="T5" s="160"/>
      <c r="U5" s="388"/>
      <c r="V5" s="160"/>
      <c r="W5" s="5"/>
      <c r="X5" s="261"/>
      <c r="Y5" s="1060" t="s">
        <v>588</v>
      </c>
    </row>
    <row r="6" spans="1:27">
      <c r="A6" s="3"/>
      <c r="B6" s="30"/>
      <c r="C6" s="245" t="s">
        <v>149</v>
      </c>
      <c r="D6" s="264" t="str">
        <f>IF('Allgemeine Angaben'!L44&gt;0,'Allgemeine Angaben'!L44,"")</f>
        <v/>
      </c>
      <c r="E6" s="265" t="s">
        <v>150</v>
      </c>
      <c r="F6" s="265"/>
      <c r="G6" s="389"/>
      <c r="I6" s="400"/>
      <c r="J6" s="267">
        <f>IF(Belegung!D8&gt;0,Belegung!D8,"")</f>
        <v>365</v>
      </c>
      <c r="K6" s="400"/>
      <c r="L6" s="385" t="str">
        <f>IF(Belegung!G6&gt;0,Belegung!G6,"")</f>
        <v/>
      </c>
      <c r="M6" s="326"/>
      <c r="N6" s="268">
        <f>divisor</f>
        <v>0</v>
      </c>
      <c r="O6" s="389"/>
      <c r="P6" s="268">
        <f>IFERROR(ROUND(J6/12,2),"")</f>
        <v>30.42</v>
      </c>
      <c r="Q6" s="408"/>
      <c r="R6" s="30"/>
      <c r="S6" s="270"/>
      <c r="T6" s="109"/>
      <c r="U6" s="423"/>
      <c r="V6" s="109"/>
      <c r="W6" s="5"/>
      <c r="Y6" s="807" t="s">
        <v>799</v>
      </c>
    </row>
    <row r="7" spans="1:27" ht="3" customHeight="1">
      <c r="A7" s="3"/>
      <c r="B7" s="30"/>
      <c r="C7" s="245"/>
      <c r="D7" s="245"/>
      <c r="E7" s="269"/>
      <c r="F7" s="269"/>
      <c r="G7" s="389"/>
      <c r="I7" s="399"/>
      <c r="J7" s="245"/>
      <c r="K7" s="399"/>
      <c r="L7" s="245"/>
      <c r="M7" s="399"/>
      <c r="N7" s="245"/>
      <c r="O7" s="388"/>
      <c r="P7" s="160"/>
      <c r="Q7" s="399"/>
      <c r="R7" s="245"/>
      <c r="S7" s="399"/>
      <c r="T7" s="109"/>
      <c r="U7" s="423"/>
      <c r="V7" s="109"/>
      <c r="W7" s="5"/>
      <c r="Y7" s="807"/>
    </row>
    <row r="8" spans="1:27">
      <c r="A8" s="3"/>
      <c r="B8" s="30"/>
      <c r="C8" s="109"/>
      <c r="D8" s="245"/>
      <c r="E8" s="265" t="s">
        <v>152</v>
      </c>
      <c r="F8" s="265"/>
      <c r="G8" s="389"/>
      <c r="I8" s="399"/>
      <c r="J8" s="212" t="s">
        <v>231</v>
      </c>
      <c r="K8" s="400"/>
      <c r="L8" s="385" t="str">
        <f>IF('Allgemeine Angaben'!D7="vst",100,IF('Allgemeine Angaben'!D7="kzp",100,L6))</f>
        <v/>
      </c>
      <c r="M8" s="269"/>
      <c r="N8" s="268" t="str">
        <f>IFERROR(Belegung!E32*J6*L8/100,"")</f>
        <v/>
      </c>
      <c r="O8" s="388"/>
      <c r="P8" s="160"/>
      <c r="Q8" s="408"/>
      <c r="R8" s="30"/>
      <c r="S8" s="270"/>
      <c r="T8" s="109"/>
      <c r="U8" s="423"/>
      <c r="V8" s="109"/>
      <c r="W8" s="5"/>
      <c r="X8" s="11"/>
      <c r="Y8" s="807" t="s">
        <v>801</v>
      </c>
    </row>
    <row r="9" spans="1:27" ht="9.9499999999999993" customHeight="1">
      <c r="A9" s="3"/>
      <c r="B9" s="30"/>
      <c r="C9" s="109"/>
      <c r="D9" s="245"/>
      <c r="E9" s="270"/>
      <c r="F9" s="270"/>
      <c r="G9" s="389"/>
      <c r="I9" s="399"/>
      <c r="J9" s="245"/>
      <c r="K9" s="245"/>
      <c r="L9" s="245"/>
      <c r="M9" s="326"/>
      <c r="N9" s="266"/>
      <c r="O9" s="388"/>
      <c r="P9" s="160"/>
      <c r="Q9" s="326"/>
      <c r="R9" s="266"/>
      <c r="S9" s="270"/>
      <c r="T9" s="109"/>
      <c r="U9" s="423"/>
      <c r="V9" s="109"/>
      <c r="W9" s="5"/>
      <c r="Y9" s="807" t="s">
        <v>802</v>
      </c>
    </row>
    <row r="10" spans="1:27">
      <c r="A10" s="3"/>
      <c r="B10" s="30"/>
      <c r="C10" s="212"/>
      <c r="D10" s="50" t="s">
        <v>37</v>
      </c>
      <c r="E10" s="271">
        <f>SUM(H10:P10)</f>
        <v>0</v>
      </c>
      <c r="F10" s="271" t="s">
        <v>347</v>
      </c>
      <c r="G10" s="389"/>
      <c r="H10" s="386">
        <f>Belegung!E26</f>
        <v>0</v>
      </c>
      <c r="I10" s="400"/>
      <c r="J10" s="272">
        <f>Belegung!E27</f>
        <v>0</v>
      </c>
      <c r="K10" s="400"/>
      <c r="L10" s="272">
        <f>Belegung!E28</f>
        <v>0</v>
      </c>
      <c r="M10" s="389"/>
      <c r="N10" s="272">
        <f>Belegung!E29</f>
        <v>0</v>
      </c>
      <c r="O10" s="389"/>
      <c r="P10" s="272">
        <f>Belegung!E30</f>
        <v>0</v>
      </c>
      <c r="Q10" s="265"/>
      <c r="R10" s="30"/>
      <c r="S10" s="270"/>
      <c r="T10" s="109"/>
      <c r="U10" s="423"/>
      <c r="V10" s="109"/>
      <c r="W10" s="5"/>
      <c r="Y10" s="807" t="s">
        <v>803</v>
      </c>
    </row>
    <row r="11" spans="1:27">
      <c r="A11" s="3"/>
      <c r="B11" s="30"/>
      <c r="C11" s="212"/>
      <c r="D11" s="50" t="s">
        <v>113</v>
      </c>
      <c r="E11" s="384">
        <f>SUM(H11:P11)</f>
        <v>0</v>
      </c>
      <c r="F11" s="273" t="e">
        <f>J11+L11+N11+P11</f>
        <v>#VALUE!</v>
      </c>
      <c r="G11" s="389"/>
      <c r="H11" s="274" t="str">
        <f>IFERROR(H10*$J$6*$L$6/100,"")</f>
        <v/>
      </c>
      <c r="I11" s="400"/>
      <c r="J11" s="274" t="str">
        <f>IFERROR(J10*$J$6*$L$6/100,"")</f>
        <v/>
      </c>
      <c r="K11" s="400"/>
      <c r="L11" s="274" t="str">
        <f>IFERROR(L10*$J$6*$L$6/100,"")</f>
        <v/>
      </c>
      <c r="M11" s="389"/>
      <c r="N11" s="274" t="str">
        <f>IFERROR(N10*$J$6*$L$6/100,"")</f>
        <v/>
      </c>
      <c r="O11" s="389"/>
      <c r="P11" s="274" t="str">
        <f>IFERROR(P10*$J$6*$L$6/100,"")</f>
        <v/>
      </c>
      <c r="Q11" s="265"/>
      <c r="R11" s="30"/>
      <c r="S11" s="270"/>
      <c r="T11" s="30"/>
      <c r="U11" s="270"/>
      <c r="V11" s="30"/>
      <c r="W11" s="5"/>
      <c r="Y11" s="807" t="s">
        <v>804</v>
      </c>
    </row>
    <row r="12" spans="1:27">
      <c r="A12" s="3"/>
      <c r="B12" s="30"/>
      <c r="C12" s="212"/>
      <c r="D12" s="266" t="s">
        <v>153</v>
      </c>
      <c r="E12" s="273"/>
      <c r="F12" s="273"/>
      <c r="G12" s="389"/>
      <c r="H12" s="275"/>
      <c r="I12" s="400"/>
      <c r="J12" s="276">
        <v>770</v>
      </c>
      <c r="K12" s="400"/>
      <c r="L12" s="276">
        <v>1262</v>
      </c>
      <c r="M12" s="640"/>
      <c r="N12" s="276">
        <v>1775</v>
      </c>
      <c r="O12" s="640"/>
      <c r="P12" s="276">
        <v>2005</v>
      </c>
      <c r="Q12" s="265"/>
      <c r="R12" s="30"/>
      <c r="S12" s="270"/>
      <c r="T12" s="30"/>
      <c r="U12" s="270"/>
      <c r="V12" s="30"/>
      <c r="W12" s="5"/>
      <c r="Y12" s="807" t="s">
        <v>805</v>
      </c>
    </row>
    <row r="13" spans="1:27" ht="9.9499999999999993" customHeight="1">
      <c r="A13" s="3"/>
      <c r="B13" s="30"/>
      <c r="C13" s="30"/>
      <c r="D13" s="9"/>
      <c r="E13" s="270"/>
      <c r="F13" s="490"/>
      <c r="G13" s="390"/>
      <c r="H13" s="30"/>
      <c r="I13" s="390"/>
      <c r="J13" s="30"/>
      <c r="K13" s="390"/>
      <c r="L13" s="30"/>
      <c r="M13" s="390"/>
      <c r="N13" s="160"/>
      <c r="O13" s="270"/>
      <c r="P13" s="30"/>
      <c r="Q13" s="265"/>
      <c r="R13" s="30"/>
      <c r="S13" s="270"/>
      <c r="T13" s="30"/>
      <c r="U13" s="270"/>
      <c r="V13" s="30"/>
      <c r="W13" s="5"/>
      <c r="Y13" s="807" t="s">
        <v>800</v>
      </c>
    </row>
    <row r="14" spans="1:27" ht="39.950000000000003" customHeight="1">
      <c r="A14" s="3"/>
      <c r="B14" s="30"/>
      <c r="C14" s="153"/>
      <c r="D14" s="1211"/>
      <c r="E14" s="277"/>
      <c r="F14" s="277"/>
      <c r="G14" s="376" t="s">
        <v>154</v>
      </c>
      <c r="H14" s="431" t="s">
        <v>241</v>
      </c>
      <c r="I14" s="376" t="s">
        <v>155</v>
      </c>
      <c r="J14" s="422" t="s">
        <v>242</v>
      </c>
      <c r="K14" s="376" t="s">
        <v>156</v>
      </c>
      <c r="L14" s="422" t="s">
        <v>243</v>
      </c>
      <c r="M14" s="376" t="s">
        <v>157</v>
      </c>
      <c r="N14" s="422" t="s">
        <v>244</v>
      </c>
      <c r="O14" s="376" t="s">
        <v>158</v>
      </c>
      <c r="P14" s="422" t="s">
        <v>245</v>
      </c>
      <c r="Q14" s="376" t="s">
        <v>159</v>
      </c>
      <c r="R14" s="422" t="s">
        <v>246</v>
      </c>
      <c r="S14" s="376" t="s">
        <v>160</v>
      </c>
      <c r="T14" s="431" t="s">
        <v>247</v>
      </c>
      <c r="U14" s="376" t="s">
        <v>232</v>
      </c>
      <c r="V14" s="431" t="s">
        <v>248</v>
      </c>
      <c r="W14" s="5"/>
      <c r="Y14" s="1213" t="s">
        <v>806</v>
      </c>
    </row>
    <row r="15" spans="1:27">
      <c r="A15" s="3"/>
      <c r="B15" s="278"/>
      <c r="C15" s="278"/>
      <c r="D15" s="598" t="s">
        <v>161</v>
      </c>
      <c r="E15" s="280" t="s">
        <v>162</v>
      </c>
      <c r="F15" s="280" t="s">
        <v>229</v>
      </c>
      <c r="G15" s="281" t="s">
        <v>163</v>
      </c>
      <c r="H15" s="282" t="s">
        <v>164</v>
      </c>
      <c r="I15" s="279" t="s">
        <v>163</v>
      </c>
      <c r="J15" s="112" t="s">
        <v>164</v>
      </c>
      <c r="K15" s="281" t="s">
        <v>163</v>
      </c>
      <c r="L15" s="282" t="s">
        <v>164</v>
      </c>
      <c r="M15" s="281" t="s">
        <v>163</v>
      </c>
      <c r="N15" s="282" t="s">
        <v>164</v>
      </c>
      <c r="O15" s="281" t="s">
        <v>163</v>
      </c>
      <c r="P15" s="282" t="s">
        <v>164</v>
      </c>
      <c r="Q15" s="281" t="s">
        <v>163</v>
      </c>
      <c r="R15" s="282" t="s">
        <v>164</v>
      </c>
      <c r="S15" s="281" t="s">
        <v>163</v>
      </c>
      <c r="T15" s="282" t="s">
        <v>164</v>
      </c>
      <c r="U15" s="281" t="s">
        <v>163</v>
      </c>
      <c r="V15" s="282" t="s">
        <v>164</v>
      </c>
      <c r="W15" s="5"/>
    </row>
    <row r="16" spans="1:27">
      <c r="A16" s="3"/>
      <c r="B16" s="283" t="s">
        <v>165</v>
      </c>
      <c r="C16" s="283" t="s">
        <v>368</v>
      </c>
      <c r="D16" s="599" t="e">
        <f>SUM(D17:D18,D20:D24)</f>
        <v>#VALUE!</v>
      </c>
      <c r="E16" s="284" t="e">
        <f>G16+I16+K16+M16+O16+Q16</f>
        <v>#VALUE!</v>
      </c>
      <c r="F16" s="284"/>
      <c r="G16" s="391" t="e">
        <f t="shared" ref="G16:P16" si="0">SUM(G17:G24)</f>
        <v>#VALUE!</v>
      </c>
      <c r="H16" s="285" t="e">
        <f t="shared" si="0"/>
        <v>#VALUE!</v>
      </c>
      <c r="I16" s="401" t="e">
        <f t="shared" si="0"/>
        <v>#VALUE!</v>
      </c>
      <c r="J16" s="285" t="e">
        <f t="shared" si="0"/>
        <v>#VALUE!</v>
      </c>
      <c r="K16" s="405" t="e">
        <f t="shared" si="0"/>
        <v>#VALUE!</v>
      </c>
      <c r="L16" s="286" t="e">
        <f t="shared" si="0"/>
        <v>#VALUE!</v>
      </c>
      <c r="M16" s="405" t="e">
        <f t="shared" si="0"/>
        <v>#VALUE!</v>
      </c>
      <c r="N16" s="286" t="e">
        <f t="shared" si="0"/>
        <v>#VALUE!</v>
      </c>
      <c r="O16" s="405" t="e">
        <f t="shared" si="0"/>
        <v>#VALUE!</v>
      </c>
      <c r="P16" s="286" t="e">
        <f t="shared" si="0"/>
        <v>#VALUE!</v>
      </c>
      <c r="Q16" s="405" t="e">
        <f>SUM(Q20:Q24)</f>
        <v>#VALUE!</v>
      </c>
      <c r="R16" s="286" t="e">
        <f>SUM(R20:R24)</f>
        <v>#VALUE!</v>
      </c>
      <c r="S16" s="413"/>
      <c r="T16" s="287"/>
      <c r="U16" s="413"/>
      <c r="V16" s="287"/>
      <c r="W16" s="5"/>
    </row>
    <row r="17" spans="1:32">
      <c r="A17" s="3"/>
      <c r="B17" s="244" t="s">
        <v>166</v>
      </c>
      <c r="C17" s="288" t="str">
        <f>Personalaufwendungen!C10</f>
        <v>Pflege inklusive QM, PDL/ stellvertretende PDL</v>
      </c>
      <c r="D17" s="600" t="e">
        <f>Personalaufwendungen!I17*Personalaufwendungen!H17*(1+pnk+Personalaufwendungen!I57)*(1+risiko)</f>
        <v>#VALUE!</v>
      </c>
      <c r="E17" s="1180" t="e">
        <f>G17+I17+K17+M17+O17</f>
        <v>#VALUE!</v>
      </c>
      <c r="F17" s="284">
        <v>1</v>
      </c>
      <c r="G17" s="392" t="e">
        <f>$D17*$F17*KAT!E32</f>
        <v>#VALUE!</v>
      </c>
      <c r="H17" s="289" t="e">
        <f>G17/$H$11</f>
        <v>#VALUE!</v>
      </c>
      <c r="I17" s="402" t="e">
        <f>$D17*$F17*KAT!E33</f>
        <v>#VALUE!</v>
      </c>
      <c r="J17" s="289" t="e">
        <f t="shared" ref="J17:J24" si="1">I17/$J$11</f>
        <v>#VALUE!</v>
      </c>
      <c r="K17" s="402" t="e">
        <f>$D17*$F17*KAT!E34</f>
        <v>#VALUE!</v>
      </c>
      <c r="L17" s="289" t="e">
        <f t="shared" ref="L17:L24" si="2">K17/$L$11</f>
        <v>#VALUE!</v>
      </c>
      <c r="M17" s="402" t="e">
        <f>$D17*$F17*KAT!E35</f>
        <v>#VALUE!</v>
      </c>
      <c r="N17" s="289" t="e">
        <f t="shared" ref="N17:N24" si="3">M17/$N$11</f>
        <v>#VALUE!</v>
      </c>
      <c r="O17" s="402" t="e">
        <f>$D17*$F17*KAT!E36</f>
        <v>#VALUE!</v>
      </c>
      <c r="P17" s="289" t="e">
        <f t="shared" ref="P17:P24" si="4">O17/$P$11</f>
        <v>#VALUE!</v>
      </c>
      <c r="Q17" s="409"/>
      <c r="R17" s="290"/>
      <c r="S17" s="413"/>
      <c r="T17" s="287"/>
      <c r="U17" s="413"/>
      <c r="V17" s="287"/>
      <c r="W17" s="5"/>
      <c r="Y17" s="864" t="s">
        <v>114</v>
      </c>
    </row>
    <row r="18" spans="1:32">
      <c r="A18" s="3"/>
      <c r="B18" s="244" t="s">
        <v>167</v>
      </c>
      <c r="C18" s="288" t="str">
        <f>Personalaufwendungen!C21</f>
        <v>Betreuung</v>
      </c>
      <c r="D18" s="600" t="e">
        <f>Personalaufwendungen!I26*Personalaufwendungen!H26*(1+pnk+Personalaufwendungen!I57)*(1+risiko)</f>
        <v>#VALUE!</v>
      </c>
      <c r="E18" s="284" t="e">
        <f>G18+I18+K18+M18+O18+Q18</f>
        <v>#VALUE!</v>
      </c>
      <c r="F18" s="284">
        <v>1</v>
      </c>
      <c r="G18" s="393" t="e">
        <f>D18*F18/$N$6*$H$11</f>
        <v>#VALUE!</v>
      </c>
      <c r="H18" s="434" t="e">
        <f>G18/$H$11</f>
        <v>#VALUE!</v>
      </c>
      <c r="I18" s="435" t="e">
        <f>D18*F18/$N$6*$J$11</f>
        <v>#VALUE!</v>
      </c>
      <c r="J18" s="434" t="e">
        <f t="shared" si="1"/>
        <v>#VALUE!</v>
      </c>
      <c r="K18" s="436" t="e">
        <f>D18*F18/$N$6*$L$11</f>
        <v>#VALUE!</v>
      </c>
      <c r="L18" s="434" t="e">
        <f t="shared" si="2"/>
        <v>#VALUE!</v>
      </c>
      <c r="M18" s="436" t="e">
        <f>D18*F18/$N$6*$N$11</f>
        <v>#VALUE!</v>
      </c>
      <c r="N18" s="434" t="e">
        <f t="shared" si="3"/>
        <v>#VALUE!</v>
      </c>
      <c r="O18" s="436" t="e">
        <f>D18*F18/$N$6*$P$11</f>
        <v>#VALUE!</v>
      </c>
      <c r="P18" s="434" t="e">
        <f t="shared" si="4"/>
        <v>#VALUE!</v>
      </c>
      <c r="Q18" s="437"/>
      <c r="R18" s="287"/>
      <c r="S18" s="413"/>
      <c r="T18" s="287"/>
      <c r="U18" s="413"/>
      <c r="V18" s="287"/>
      <c r="W18" s="5"/>
      <c r="Z18" s="1176"/>
    </row>
    <row r="19" spans="1:32">
      <c r="A19" s="3"/>
      <c r="B19" s="244" t="s">
        <v>168</v>
      </c>
      <c r="C19" s="288" t="str">
        <f>Personalaufwendungen!C28</f>
        <v>Zusätzliche Betreuung und Aktivierung</v>
      </c>
      <c r="D19" s="600" t="e">
        <f>Personalaufwendungen!I29*Personalaufwendungen!H29*(1+pnk+Personalaufwendungen!I57)*(1+risiko)</f>
        <v>#VALUE!</v>
      </c>
      <c r="E19" s="284"/>
      <c r="F19" s="284"/>
      <c r="G19" s="393"/>
      <c r="H19" s="301"/>
      <c r="I19" s="301"/>
      <c r="J19" s="301"/>
      <c r="K19" s="301"/>
      <c r="L19" s="301"/>
      <c r="M19" s="301"/>
      <c r="N19" s="301"/>
      <c r="O19" s="301"/>
      <c r="P19" s="301"/>
      <c r="Q19" s="438"/>
      <c r="R19" s="304"/>
      <c r="S19" s="304"/>
      <c r="T19" s="304"/>
      <c r="U19" s="394" t="e">
        <f>D19</f>
        <v>#VALUE!</v>
      </c>
      <c r="V19" s="439" t="e">
        <f>U19/$N$8</f>
        <v>#VALUE!</v>
      </c>
      <c r="W19" s="5"/>
    </row>
    <row r="20" spans="1:32">
      <c r="A20" s="3"/>
      <c r="B20" s="244" t="s">
        <v>169</v>
      </c>
      <c r="C20" s="288" t="str">
        <f>Personalaufwendungen!C31</f>
        <v>Leitung / Verwaltung</v>
      </c>
      <c r="D20" s="600" t="e">
        <f>Personalaufwendungen!I34*Personalaufwendungen!H34*(1+pnk+Personalaufwendungen!I57)*(1+risiko)</f>
        <v>#VALUE!</v>
      </c>
      <c r="E20" s="284" t="e">
        <f>G20+I20+K20+M20+O20+Q20</f>
        <v>#VALUE!</v>
      </c>
      <c r="F20" s="284">
        <v>0.5</v>
      </c>
      <c r="G20" s="393" t="e">
        <f>D20*F20/$N$6*$H$11</f>
        <v>#VALUE!</v>
      </c>
      <c r="H20" s="303" t="e">
        <f>G20/$H$11</f>
        <v>#VALUE!</v>
      </c>
      <c r="I20" s="432" t="e">
        <f>D20*F20/$N$6*$J$11</f>
        <v>#VALUE!</v>
      </c>
      <c r="J20" s="303" t="e">
        <f t="shared" si="1"/>
        <v>#VALUE!</v>
      </c>
      <c r="K20" s="433" t="e">
        <f>D20*F20/$N$6*$L$11</f>
        <v>#VALUE!</v>
      </c>
      <c r="L20" s="303" t="e">
        <f t="shared" si="2"/>
        <v>#VALUE!</v>
      </c>
      <c r="M20" s="433" t="e">
        <f>D20*F20/$N$6*$N$11</f>
        <v>#VALUE!</v>
      </c>
      <c r="N20" s="303" t="e">
        <f t="shared" si="3"/>
        <v>#VALUE!</v>
      </c>
      <c r="O20" s="433" t="e">
        <f>D20*F20/$N$6*$P$11</f>
        <v>#VALUE!</v>
      </c>
      <c r="P20" s="303" t="e">
        <f t="shared" si="4"/>
        <v>#VALUE!</v>
      </c>
      <c r="Q20" s="433" t="e">
        <f>D20*F20</f>
        <v>#VALUE!</v>
      </c>
      <c r="R20" s="303" t="e">
        <f>Q20/divisor</f>
        <v>#VALUE!</v>
      </c>
      <c r="S20" s="413"/>
      <c r="T20" s="287"/>
      <c r="U20" s="413"/>
      <c r="V20" s="287"/>
      <c r="W20" s="5"/>
    </row>
    <row r="21" spans="1:32">
      <c r="A21" s="3"/>
      <c r="B21" s="291" t="s">
        <v>170</v>
      </c>
      <c r="C21" s="288" t="str">
        <f>Personalaufwendungen!C36</f>
        <v>Hauswirtschaft</v>
      </c>
      <c r="D21" s="600" t="e">
        <f>Personalaufwendungen!I39*Personalaufwendungen!H39*(1+pnk+Personalaufwendungen!I57)*(1+risiko)</f>
        <v>#VALUE!</v>
      </c>
      <c r="E21" s="284" t="e">
        <f>G21+I21+K21+M21+O21+Q21</f>
        <v>#VALUE!</v>
      </c>
      <c r="F21" s="284">
        <v>0.5</v>
      </c>
      <c r="G21" s="393" t="e">
        <f>D21*F21/$N$6*$H$11</f>
        <v>#VALUE!</v>
      </c>
      <c r="H21" s="289" t="e">
        <f>G21/$H$11</f>
        <v>#VALUE!</v>
      </c>
      <c r="I21" s="402" t="e">
        <f>D21*F21/$N$6*$J$11</f>
        <v>#VALUE!</v>
      </c>
      <c r="J21" s="289" t="e">
        <f t="shared" si="1"/>
        <v>#VALUE!</v>
      </c>
      <c r="K21" s="393" t="e">
        <f>D21*F21/$N$6*$L$11</f>
        <v>#VALUE!</v>
      </c>
      <c r="L21" s="289" t="e">
        <f t="shared" si="2"/>
        <v>#VALUE!</v>
      </c>
      <c r="M21" s="393" t="e">
        <f>D21*F21/$N$6*$N$11</f>
        <v>#VALUE!</v>
      </c>
      <c r="N21" s="289" t="e">
        <f t="shared" si="3"/>
        <v>#VALUE!</v>
      </c>
      <c r="O21" s="393" t="e">
        <f>D21*F21/$N$6*$P$11</f>
        <v>#VALUE!</v>
      </c>
      <c r="P21" s="289" t="e">
        <f t="shared" si="4"/>
        <v>#VALUE!</v>
      </c>
      <c r="Q21" s="393" t="e">
        <f>D21*F21</f>
        <v>#VALUE!</v>
      </c>
      <c r="R21" s="289" t="e">
        <f>Q21/divisor</f>
        <v>#VALUE!</v>
      </c>
      <c r="S21" s="413"/>
      <c r="T21" s="287"/>
      <c r="U21" s="413"/>
      <c r="V21" s="287"/>
      <c r="W21" s="5"/>
      <c r="X21" s="127"/>
      <c r="Y21" s="864" t="s">
        <v>771</v>
      </c>
    </row>
    <row r="22" spans="1:32">
      <c r="A22" s="3"/>
      <c r="B22" s="244" t="s">
        <v>171</v>
      </c>
      <c r="C22" s="288" t="str">
        <f>Personalaufwendungen!C41</f>
        <v>Küche</v>
      </c>
      <c r="D22" s="600" t="e">
        <f>Personalaufwendungen!I41*Personalaufwendungen!H41*(1+pnk+Personalaufwendungen!I57)*(1+risiko)</f>
        <v>#VALUE!</v>
      </c>
      <c r="E22" s="284" t="e">
        <f>G22+I22+K22+M22+O22+Q22</f>
        <v>#VALUE!</v>
      </c>
      <c r="F22" s="284">
        <v>0.5</v>
      </c>
      <c r="G22" s="393" t="e">
        <f>D22*F22/$N$6*$H$11</f>
        <v>#VALUE!</v>
      </c>
      <c r="H22" s="289" t="e">
        <f>G22/$H$11</f>
        <v>#VALUE!</v>
      </c>
      <c r="I22" s="402" t="e">
        <f>D22*F22/$N$6*$J$11</f>
        <v>#VALUE!</v>
      </c>
      <c r="J22" s="289" t="e">
        <f t="shared" si="1"/>
        <v>#VALUE!</v>
      </c>
      <c r="K22" s="393" t="e">
        <f>D22*F22/$N$6*$L$11</f>
        <v>#VALUE!</v>
      </c>
      <c r="L22" s="289" t="e">
        <f t="shared" si="2"/>
        <v>#VALUE!</v>
      </c>
      <c r="M22" s="393" t="e">
        <f>D22*F22/$N$6*$N$11</f>
        <v>#VALUE!</v>
      </c>
      <c r="N22" s="289" t="e">
        <f t="shared" si="3"/>
        <v>#VALUE!</v>
      </c>
      <c r="O22" s="393" t="e">
        <f>D22*F22/$N$6*$P$11</f>
        <v>#VALUE!</v>
      </c>
      <c r="P22" s="289" t="e">
        <f t="shared" si="4"/>
        <v>#VALUE!</v>
      </c>
      <c r="Q22" s="393" t="e">
        <f>D22*F22</f>
        <v>#VALUE!</v>
      </c>
      <c r="R22" s="289" t="e">
        <f>Q22/divisor</f>
        <v>#VALUE!</v>
      </c>
      <c r="S22" s="413"/>
      <c r="T22" s="287"/>
      <c r="U22" s="413"/>
      <c r="V22" s="287"/>
      <c r="W22" s="5"/>
      <c r="Y22" s="1194" t="s">
        <v>773</v>
      </c>
    </row>
    <row r="23" spans="1:32">
      <c r="A23" s="3"/>
      <c r="B23" s="244" t="s">
        <v>172</v>
      </c>
      <c r="C23" s="288" t="str">
        <f>Personalaufwendungen!C43</f>
        <v>Haustechnik</v>
      </c>
      <c r="D23" s="600" t="e">
        <f>Personalaufwendungen!I43*Personalaufwendungen!H43*(1+pnk+Personalaufwendungen!I57)*(1+risiko)</f>
        <v>#VALUE!</v>
      </c>
      <c r="E23" s="284" t="e">
        <f>G23+I23+K23+M23+O23+Q23</f>
        <v>#VALUE!</v>
      </c>
      <c r="F23" s="284">
        <v>0.5</v>
      </c>
      <c r="G23" s="393" t="e">
        <f>D23*F23/$N$6*$H$11</f>
        <v>#VALUE!</v>
      </c>
      <c r="H23" s="289" t="e">
        <f>G23/$H$11</f>
        <v>#VALUE!</v>
      </c>
      <c r="I23" s="402" t="e">
        <f>D23*F23/$N$6*$J$11</f>
        <v>#VALUE!</v>
      </c>
      <c r="J23" s="289" t="e">
        <f t="shared" si="1"/>
        <v>#VALUE!</v>
      </c>
      <c r="K23" s="393" t="e">
        <f>D23*F23/$N$6*$L$11</f>
        <v>#VALUE!</v>
      </c>
      <c r="L23" s="289" t="e">
        <f t="shared" si="2"/>
        <v>#VALUE!</v>
      </c>
      <c r="M23" s="393" t="e">
        <f>D23*F23/$N$6*$N$11</f>
        <v>#VALUE!</v>
      </c>
      <c r="N23" s="289" t="e">
        <f t="shared" si="3"/>
        <v>#VALUE!</v>
      </c>
      <c r="O23" s="393" t="e">
        <f>D23*F23/$N$6*$P$11</f>
        <v>#VALUE!</v>
      </c>
      <c r="P23" s="289" t="e">
        <f t="shared" si="4"/>
        <v>#VALUE!</v>
      </c>
      <c r="Q23" s="393" t="e">
        <f>D23*F23</f>
        <v>#VALUE!</v>
      </c>
      <c r="R23" s="289" t="e">
        <f>Q23/divisor</f>
        <v>#VALUE!</v>
      </c>
      <c r="S23" s="413"/>
      <c r="T23" s="287"/>
      <c r="U23" s="413"/>
      <c r="V23" s="287"/>
      <c r="W23" s="5"/>
      <c r="Y23" s="1178" t="s">
        <v>749</v>
      </c>
    </row>
    <row r="24" spans="1:32">
      <c r="A24" s="3"/>
      <c r="B24" s="244" t="s">
        <v>182</v>
      </c>
      <c r="C24" s="428" t="s">
        <v>369</v>
      </c>
      <c r="D24" s="600">
        <f>Personalaufwendungen!I62*Personalaufwendungen!H62+Personalaufwendungen!I64*Personalaufwendungen!H64</f>
        <v>0</v>
      </c>
      <c r="E24" s="284" t="e">
        <f>G24+I24+K24+M24+O24+Q24</f>
        <v>#DIV/0!</v>
      </c>
      <c r="F24" s="284">
        <v>0.5</v>
      </c>
      <c r="G24" s="393" t="e">
        <f>D24*F24/$N$6*$H$11</f>
        <v>#DIV/0!</v>
      </c>
      <c r="H24" s="289" t="e">
        <f>G24/$H$11</f>
        <v>#DIV/0!</v>
      </c>
      <c r="I24" s="402" t="e">
        <f>D24*F24/$N$6*$J$11</f>
        <v>#DIV/0!</v>
      </c>
      <c r="J24" s="289" t="e">
        <f t="shared" si="1"/>
        <v>#DIV/0!</v>
      </c>
      <c r="K24" s="393" t="e">
        <f>D24*F24/$N$6*$L$11</f>
        <v>#DIV/0!</v>
      </c>
      <c r="L24" s="289" t="e">
        <f t="shared" si="2"/>
        <v>#DIV/0!</v>
      </c>
      <c r="M24" s="393" t="e">
        <f>D24*F24/$N$6*$N$11</f>
        <v>#DIV/0!</v>
      </c>
      <c r="N24" s="289" t="e">
        <f t="shared" si="3"/>
        <v>#DIV/0!</v>
      </c>
      <c r="O24" s="393" t="e">
        <f>D24*F24/$N$6*$P$11</f>
        <v>#DIV/0!</v>
      </c>
      <c r="P24" s="289" t="e">
        <f t="shared" si="4"/>
        <v>#DIV/0!</v>
      </c>
      <c r="Q24" s="393">
        <f>D24*F24</f>
        <v>0</v>
      </c>
      <c r="R24" s="289" t="e">
        <f>Q24/divisor</f>
        <v>#DIV/0!</v>
      </c>
      <c r="S24" s="413"/>
      <c r="T24" s="287"/>
      <c r="U24" s="413"/>
      <c r="V24" s="287"/>
      <c r="W24" s="5"/>
      <c r="X24" s="128"/>
      <c r="Y24" s="1179" t="s">
        <v>783</v>
      </c>
    </row>
    <row r="25" spans="1:32" s="75" customFormat="1">
      <c r="A25" s="292"/>
      <c r="B25" s="30"/>
      <c r="C25" s="293"/>
      <c r="D25" s="387"/>
      <c r="E25" s="294"/>
      <c r="F25" s="294"/>
      <c r="G25" s="394"/>
      <c r="H25" s="287"/>
      <c r="I25" s="394"/>
      <c r="J25" s="287"/>
      <c r="K25" s="394"/>
      <c r="L25" s="287"/>
      <c r="M25" s="394"/>
      <c r="N25" s="287"/>
      <c r="O25" s="394"/>
      <c r="P25" s="287"/>
      <c r="Q25" s="394"/>
      <c r="R25" s="287"/>
      <c r="S25" s="414"/>
      <c r="T25" s="296"/>
      <c r="U25" s="313"/>
      <c r="V25" s="287"/>
      <c r="W25" s="297"/>
      <c r="Y25" s="1196" t="s">
        <v>782</v>
      </c>
      <c r="Z25" s="1197"/>
      <c r="AA25" s="1197"/>
      <c r="AB25" s="1197"/>
      <c r="AC25" s="1198"/>
      <c r="AD25" s="1199"/>
      <c r="AE25" s="1199"/>
      <c r="AF25" s="1199"/>
    </row>
    <row r="26" spans="1:32">
      <c r="A26" s="3"/>
      <c r="B26" s="330" t="s">
        <v>49</v>
      </c>
      <c r="C26" s="283" t="s">
        <v>173</v>
      </c>
      <c r="D26" s="599">
        <f>SUM(D27:D36)</f>
        <v>0</v>
      </c>
      <c r="E26" s="284" t="e">
        <f>G26+I26+K26+M26+O26+Q26+S26</f>
        <v>#DIV/0!</v>
      </c>
      <c r="F26" s="284"/>
      <c r="G26" s="391" t="e">
        <f t="shared" ref="G26:L26" si="5">SUM(G28:G36)</f>
        <v>#DIV/0!</v>
      </c>
      <c r="H26" s="285" t="e">
        <f t="shared" si="5"/>
        <v>#DIV/0!</v>
      </c>
      <c r="I26" s="401" t="e">
        <f t="shared" si="5"/>
        <v>#DIV/0!</v>
      </c>
      <c r="J26" s="285" t="e">
        <f t="shared" si="5"/>
        <v>#DIV/0!</v>
      </c>
      <c r="K26" s="391" t="e">
        <f t="shared" si="5"/>
        <v>#DIV/0!</v>
      </c>
      <c r="L26" s="285" t="e">
        <f t="shared" si="5"/>
        <v>#DIV/0!</v>
      </c>
      <c r="M26" s="391" t="e">
        <f t="shared" ref="M26:P26" si="6">SUM(M28:M36)</f>
        <v>#DIV/0!</v>
      </c>
      <c r="N26" s="285" t="e">
        <f t="shared" si="6"/>
        <v>#DIV/0!</v>
      </c>
      <c r="O26" s="391" t="e">
        <f t="shared" si="6"/>
        <v>#DIV/0!</v>
      </c>
      <c r="P26" s="285" t="e">
        <f t="shared" si="6"/>
        <v>#DIV/0!</v>
      </c>
      <c r="Q26" s="405">
        <f>SUM(Q29:Q36)</f>
        <v>0</v>
      </c>
      <c r="R26" s="286" t="e">
        <f>SUM(R29:R36)</f>
        <v>#DIV/0!</v>
      </c>
      <c r="S26" s="405">
        <f>SUM(S27:S36)</f>
        <v>0</v>
      </c>
      <c r="T26" s="286" t="e">
        <f>SUM(T27:T36)</f>
        <v>#DIV/0!</v>
      </c>
      <c r="U26" s="430"/>
      <c r="V26" s="287"/>
      <c r="W26" s="5"/>
      <c r="Y26" s="1200" t="s">
        <v>772</v>
      </c>
      <c r="Z26" s="1197"/>
      <c r="AA26" s="1197"/>
      <c r="AB26" s="1197"/>
      <c r="AC26" s="1198"/>
      <c r="AD26" s="1201"/>
      <c r="AE26" s="1201"/>
      <c r="AF26" s="1201"/>
    </row>
    <row r="27" spans="1:32">
      <c r="A27" s="3"/>
      <c r="B27" s="429" t="s">
        <v>80</v>
      </c>
      <c r="C27" s="299" t="str">
        <f>Sachaufwendungen!C33</f>
        <v>Lebensmittel</v>
      </c>
      <c r="D27" s="600">
        <f>Sachaufwendungen!L33</f>
        <v>0</v>
      </c>
      <c r="E27" s="300"/>
      <c r="F27" s="300"/>
      <c r="G27" s="395"/>
      <c r="H27" s="301"/>
      <c r="I27" s="402"/>
      <c r="J27" s="301"/>
      <c r="K27" s="402"/>
      <c r="L27" s="301"/>
      <c r="M27" s="402"/>
      <c r="N27" s="301"/>
      <c r="O27" s="402"/>
      <c r="P27" s="301"/>
      <c r="Q27" s="402"/>
      <c r="R27" s="302"/>
      <c r="S27" s="393">
        <f>D27</f>
        <v>0</v>
      </c>
      <c r="T27" s="303" t="e">
        <f>S27/divisor</f>
        <v>#DIV/0!</v>
      </c>
      <c r="U27" s="394"/>
      <c r="V27" s="287"/>
      <c r="W27" s="5"/>
      <c r="Y27" s="1194" t="s">
        <v>773</v>
      </c>
    </row>
    <row r="28" spans="1:32">
      <c r="A28" s="3"/>
      <c r="B28" s="429" t="s">
        <v>82</v>
      </c>
      <c r="C28" s="299" t="str">
        <f>Sachaufwendungen!C34</f>
        <v>Pflegerischer Bedarf</v>
      </c>
      <c r="D28" s="600">
        <f>Sachaufwendungen!L34</f>
        <v>0</v>
      </c>
      <c r="E28" s="284" t="e">
        <f t="shared" ref="E28:E36" si="7">G28+I28+K28+M28+O28+Q28+S28</f>
        <v>#DIV/0!</v>
      </c>
      <c r="F28" s="284">
        <v>1</v>
      </c>
      <c r="G28" s="393" t="e">
        <f t="shared" ref="G28:G36" si="8">D28*F28/divisor*$H$11</f>
        <v>#DIV/0!</v>
      </c>
      <c r="H28" s="289" t="e">
        <f t="shared" ref="H28:H36" si="9">G28/$H$11</f>
        <v>#DIV/0!</v>
      </c>
      <c r="I28" s="402" t="e">
        <f t="shared" ref="I28:I36" si="10">D28*F28/divisor*$J$11</f>
        <v>#DIV/0!</v>
      </c>
      <c r="J28" s="289" t="e">
        <f t="shared" ref="J28:J36" si="11">I28/$J$11</f>
        <v>#DIV/0!</v>
      </c>
      <c r="K28" s="393" t="e">
        <f t="shared" ref="K28:K36" si="12">D28*F28/divisor*$L$11</f>
        <v>#DIV/0!</v>
      </c>
      <c r="L28" s="289" t="e">
        <f t="shared" ref="L28:L36" si="13">K28/$L$11</f>
        <v>#DIV/0!</v>
      </c>
      <c r="M28" s="393" t="e">
        <f t="shared" ref="M28:M36" si="14">D28*F28/divisor*$N$11</f>
        <v>#DIV/0!</v>
      </c>
      <c r="N28" s="289" t="e">
        <f t="shared" ref="N28:N36" si="15">M28/$N$11</f>
        <v>#DIV/0!</v>
      </c>
      <c r="O28" s="393" t="e">
        <f t="shared" ref="O28:O36" si="16">D28*F28/divisor*$P$11</f>
        <v>#DIV/0!</v>
      </c>
      <c r="P28" s="289" t="e">
        <f t="shared" ref="P28:P36" si="17">O28/$P$11</f>
        <v>#DIV/0!</v>
      </c>
      <c r="Q28" s="410"/>
      <c r="R28" s="304"/>
      <c r="S28" s="415"/>
      <c r="T28" s="287"/>
      <c r="U28" s="413"/>
      <c r="V28" s="287"/>
      <c r="W28" s="5"/>
      <c r="Y28" s="1194" t="s">
        <v>784</v>
      </c>
    </row>
    <row r="29" spans="1:32">
      <c r="A29" s="3"/>
      <c r="B29" s="429" t="s">
        <v>84</v>
      </c>
      <c r="C29" s="305" t="str">
        <f>Sachaufwendungen!C35</f>
        <v>Wasser, Energie, Brennstoffe</v>
      </c>
      <c r="D29" s="600">
        <f>Sachaufwendungen!L35</f>
        <v>0</v>
      </c>
      <c r="E29" s="284" t="e">
        <f t="shared" si="7"/>
        <v>#DIV/0!</v>
      </c>
      <c r="F29" s="284">
        <v>0.5</v>
      </c>
      <c r="G29" s="393" t="e">
        <f t="shared" si="8"/>
        <v>#DIV/0!</v>
      </c>
      <c r="H29" s="289" t="e">
        <f t="shared" si="9"/>
        <v>#DIV/0!</v>
      </c>
      <c r="I29" s="402" t="e">
        <f t="shared" si="10"/>
        <v>#DIV/0!</v>
      </c>
      <c r="J29" s="289" t="e">
        <f t="shared" si="11"/>
        <v>#DIV/0!</v>
      </c>
      <c r="K29" s="393" t="e">
        <f t="shared" si="12"/>
        <v>#DIV/0!</v>
      </c>
      <c r="L29" s="289" t="e">
        <f t="shared" si="13"/>
        <v>#DIV/0!</v>
      </c>
      <c r="M29" s="393" t="e">
        <f t="shared" si="14"/>
        <v>#DIV/0!</v>
      </c>
      <c r="N29" s="289" t="e">
        <f t="shared" si="15"/>
        <v>#DIV/0!</v>
      </c>
      <c r="O29" s="393" t="e">
        <f t="shared" si="16"/>
        <v>#DIV/0!</v>
      </c>
      <c r="P29" s="289" t="e">
        <f t="shared" si="17"/>
        <v>#DIV/0!</v>
      </c>
      <c r="Q29" s="393">
        <f>D29*F29</f>
        <v>0</v>
      </c>
      <c r="R29" s="289" t="e">
        <f>Q29/divisor</f>
        <v>#DIV/0!</v>
      </c>
      <c r="S29" s="416"/>
      <c r="T29" s="287"/>
      <c r="U29" s="413"/>
      <c r="V29" s="287"/>
      <c r="W29" s="5"/>
      <c r="Y29" s="1194" t="s">
        <v>785</v>
      </c>
    </row>
    <row r="30" spans="1:32">
      <c r="A30" s="3"/>
      <c r="B30" s="429" t="s">
        <v>86</v>
      </c>
      <c r="C30" s="299" t="str">
        <f>Sachaufwendungen!C36</f>
        <v>Verwaltungsbedarf</v>
      </c>
      <c r="D30" s="600">
        <f>Sachaufwendungen!L36</f>
        <v>0</v>
      </c>
      <c r="E30" s="284" t="e">
        <f t="shared" si="7"/>
        <v>#DIV/0!</v>
      </c>
      <c r="F30" s="284">
        <v>0.5</v>
      </c>
      <c r="G30" s="393" t="e">
        <f t="shared" si="8"/>
        <v>#DIV/0!</v>
      </c>
      <c r="H30" s="289" t="e">
        <f t="shared" si="9"/>
        <v>#DIV/0!</v>
      </c>
      <c r="I30" s="402" t="e">
        <f t="shared" si="10"/>
        <v>#DIV/0!</v>
      </c>
      <c r="J30" s="289" t="e">
        <f t="shared" si="11"/>
        <v>#DIV/0!</v>
      </c>
      <c r="K30" s="393" t="e">
        <f t="shared" si="12"/>
        <v>#DIV/0!</v>
      </c>
      <c r="L30" s="289" t="e">
        <f t="shared" si="13"/>
        <v>#DIV/0!</v>
      </c>
      <c r="M30" s="393" t="e">
        <f t="shared" si="14"/>
        <v>#DIV/0!</v>
      </c>
      <c r="N30" s="289" t="e">
        <f t="shared" si="15"/>
        <v>#DIV/0!</v>
      </c>
      <c r="O30" s="393" t="e">
        <f t="shared" si="16"/>
        <v>#DIV/0!</v>
      </c>
      <c r="P30" s="289" t="e">
        <f t="shared" si="17"/>
        <v>#DIV/0!</v>
      </c>
      <c r="Q30" s="393">
        <f>D30*F30</f>
        <v>0</v>
      </c>
      <c r="R30" s="289" t="e">
        <f>Q30/divisor</f>
        <v>#DIV/0!</v>
      </c>
      <c r="S30" s="416"/>
      <c r="T30" s="287"/>
      <c r="U30" s="413"/>
      <c r="V30" s="287"/>
      <c r="W30" s="5"/>
    </row>
    <row r="31" spans="1:32">
      <c r="A31" s="3"/>
      <c r="B31" s="429" t="s">
        <v>88</v>
      </c>
      <c r="C31" s="299" t="str">
        <f>Sachaufwendungen!C37</f>
        <v>Zentrale Verwaltungsdienste</v>
      </c>
      <c r="D31" s="600">
        <f>Sachaufwendungen!L37</f>
        <v>0</v>
      </c>
      <c r="E31" s="284" t="e">
        <f t="shared" si="7"/>
        <v>#DIV/0!</v>
      </c>
      <c r="F31" s="284">
        <v>0.5</v>
      </c>
      <c r="G31" s="393" t="e">
        <f t="shared" si="8"/>
        <v>#DIV/0!</v>
      </c>
      <c r="H31" s="289" t="e">
        <f t="shared" si="9"/>
        <v>#DIV/0!</v>
      </c>
      <c r="I31" s="402" t="e">
        <f t="shared" si="10"/>
        <v>#DIV/0!</v>
      </c>
      <c r="J31" s="289" t="e">
        <f t="shared" si="11"/>
        <v>#DIV/0!</v>
      </c>
      <c r="K31" s="393" t="e">
        <f t="shared" si="12"/>
        <v>#DIV/0!</v>
      </c>
      <c r="L31" s="289" t="e">
        <f t="shared" si="13"/>
        <v>#DIV/0!</v>
      </c>
      <c r="M31" s="393" t="e">
        <f t="shared" si="14"/>
        <v>#DIV/0!</v>
      </c>
      <c r="N31" s="289" t="e">
        <f t="shared" si="15"/>
        <v>#DIV/0!</v>
      </c>
      <c r="O31" s="393" t="e">
        <f t="shared" si="16"/>
        <v>#DIV/0!</v>
      </c>
      <c r="P31" s="289" t="e">
        <f t="shared" si="17"/>
        <v>#DIV/0!</v>
      </c>
      <c r="Q31" s="393">
        <f>D31*F31</f>
        <v>0</v>
      </c>
      <c r="R31" s="289" t="e">
        <f>Q31/divisor</f>
        <v>#DIV/0!</v>
      </c>
      <c r="S31" s="416"/>
      <c r="T31" s="287"/>
      <c r="U31" s="413"/>
      <c r="V31" s="287"/>
      <c r="W31" s="5"/>
    </row>
    <row r="32" spans="1:32">
      <c r="A32" s="3"/>
      <c r="B32" s="429" t="s">
        <v>90</v>
      </c>
      <c r="C32" s="299" t="str">
        <f>Sachaufwendungen!C38</f>
        <v>Betreuungsaufwand</v>
      </c>
      <c r="D32" s="600">
        <f>Sachaufwendungen!L38</f>
        <v>0</v>
      </c>
      <c r="E32" s="284" t="e">
        <f t="shared" si="7"/>
        <v>#DIV/0!</v>
      </c>
      <c r="F32" s="284">
        <v>1</v>
      </c>
      <c r="G32" s="393" t="e">
        <f t="shared" si="8"/>
        <v>#DIV/0!</v>
      </c>
      <c r="H32" s="289" t="e">
        <f t="shared" si="9"/>
        <v>#DIV/0!</v>
      </c>
      <c r="I32" s="402" t="e">
        <f t="shared" si="10"/>
        <v>#DIV/0!</v>
      </c>
      <c r="J32" s="289" t="e">
        <f t="shared" si="11"/>
        <v>#DIV/0!</v>
      </c>
      <c r="K32" s="393" t="e">
        <f t="shared" si="12"/>
        <v>#DIV/0!</v>
      </c>
      <c r="L32" s="289" t="e">
        <f t="shared" si="13"/>
        <v>#DIV/0!</v>
      </c>
      <c r="M32" s="393" t="e">
        <f t="shared" si="14"/>
        <v>#DIV/0!</v>
      </c>
      <c r="N32" s="289" t="e">
        <f t="shared" si="15"/>
        <v>#DIV/0!</v>
      </c>
      <c r="O32" s="393" t="e">
        <f t="shared" si="16"/>
        <v>#DIV/0!</v>
      </c>
      <c r="P32" s="289" t="e">
        <f t="shared" si="17"/>
        <v>#DIV/0!</v>
      </c>
      <c r="Q32" s="410"/>
      <c r="R32" s="304"/>
      <c r="S32" s="413"/>
      <c r="T32" s="287"/>
      <c r="U32" s="413"/>
      <c r="V32" s="287"/>
      <c r="W32" s="5"/>
    </row>
    <row r="33" spans="1:29">
      <c r="A33" s="3"/>
      <c r="B33" s="298" t="s">
        <v>92</v>
      </c>
      <c r="C33" s="299" t="str">
        <f>Sachaufwendungen!C39</f>
        <v>Wirtschaftsbedarf</v>
      </c>
      <c r="D33" s="600">
        <f>Sachaufwendungen!L39</f>
        <v>0</v>
      </c>
      <c r="E33" s="284" t="e">
        <f t="shared" si="7"/>
        <v>#DIV/0!</v>
      </c>
      <c r="F33" s="284">
        <v>0.5</v>
      </c>
      <c r="G33" s="393" t="e">
        <f t="shared" si="8"/>
        <v>#DIV/0!</v>
      </c>
      <c r="H33" s="289" t="e">
        <f t="shared" si="9"/>
        <v>#DIV/0!</v>
      </c>
      <c r="I33" s="402" t="e">
        <f t="shared" si="10"/>
        <v>#DIV/0!</v>
      </c>
      <c r="J33" s="289" t="e">
        <f t="shared" si="11"/>
        <v>#DIV/0!</v>
      </c>
      <c r="K33" s="393" t="e">
        <f t="shared" si="12"/>
        <v>#DIV/0!</v>
      </c>
      <c r="L33" s="289" t="e">
        <f t="shared" si="13"/>
        <v>#DIV/0!</v>
      </c>
      <c r="M33" s="393" t="e">
        <f t="shared" si="14"/>
        <v>#DIV/0!</v>
      </c>
      <c r="N33" s="289" t="e">
        <f t="shared" si="15"/>
        <v>#DIV/0!</v>
      </c>
      <c r="O33" s="393" t="e">
        <f t="shared" si="16"/>
        <v>#DIV/0!</v>
      </c>
      <c r="P33" s="289" t="e">
        <f t="shared" si="17"/>
        <v>#DIV/0!</v>
      </c>
      <c r="Q33" s="393">
        <f>D33*F33</f>
        <v>0</v>
      </c>
      <c r="R33" s="289" t="e">
        <f>Q33/divisor</f>
        <v>#DIV/0!</v>
      </c>
      <c r="S33" s="416"/>
      <c r="T33" s="287"/>
      <c r="U33" s="413"/>
      <c r="V33" s="287"/>
      <c r="W33" s="5"/>
    </row>
    <row r="34" spans="1:29">
      <c r="A34" s="3"/>
      <c r="B34" s="298" t="s">
        <v>94</v>
      </c>
      <c r="C34" s="299" t="str">
        <f>Sachaufwendungen!C40</f>
        <v>Steuern/Abgaben/Versicherungen</v>
      </c>
      <c r="D34" s="600">
        <f>Sachaufwendungen!L40</f>
        <v>0</v>
      </c>
      <c r="E34" s="284" t="e">
        <f t="shared" si="7"/>
        <v>#DIV/0!</v>
      </c>
      <c r="F34" s="284">
        <v>0.5</v>
      </c>
      <c r="G34" s="393" t="e">
        <f t="shared" si="8"/>
        <v>#DIV/0!</v>
      </c>
      <c r="H34" s="289" t="e">
        <f t="shared" si="9"/>
        <v>#DIV/0!</v>
      </c>
      <c r="I34" s="402" t="e">
        <f t="shared" si="10"/>
        <v>#DIV/0!</v>
      </c>
      <c r="J34" s="289" t="e">
        <f t="shared" si="11"/>
        <v>#DIV/0!</v>
      </c>
      <c r="K34" s="393" t="e">
        <f t="shared" si="12"/>
        <v>#DIV/0!</v>
      </c>
      <c r="L34" s="289" t="e">
        <f t="shared" si="13"/>
        <v>#DIV/0!</v>
      </c>
      <c r="M34" s="393" t="e">
        <f t="shared" si="14"/>
        <v>#DIV/0!</v>
      </c>
      <c r="N34" s="289" t="e">
        <f t="shared" si="15"/>
        <v>#DIV/0!</v>
      </c>
      <c r="O34" s="393" t="e">
        <f t="shared" si="16"/>
        <v>#DIV/0!</v>
      </c>
      <c r="P34" s="289" t="e">
        <f t="shared" si="17"/>
        <v>#DIV/0!</v>
      </c>
      <c r="Q34" s="393">
        <f>D34*F34</f>
        <v>0</v>
      </c>
      <c r="R34" s="289" t="e">
        <f>Q34/divisor</f>
        <v>#DIV/0!</v>
      </c>
      <c r="S34" s="416"/>
      <c r="T34" s="287"/>
      <c r="U34" s="413"/>
      <c r="V34" s="287"/>
      <c r="W34" s="5"/>
    </row>
    <row r="35" spans="1:29">
      <c r="A35" s="3"/>
      <c r="B35" s="298" t="s">
        <v>96</v>
      </c>
      <c r="C35" s="306" t="str">
        <f>Sachaufwendungen!C41</f>
        <v>Wartung (keine Instandhaltung)</v>
      </c>
      <c r="D35" s="600">
        <f>Sachaufwendungen!L41</f>
        <v>0</v>
      </c>
      <c r="E35" s="284" t="e">
        <f t="shared" si="7"/>
        <v>#DIV/0!</v>
      </c>
      <c r="F35" s="284">
        <v>0.5</v>
      </c>
      <c r="G35" s="393" t="e">
        <f t="shared" si="8"/>
        <v>#DIV/0!</v>
      </c>
      <c r="H35" s="289" t="e">
        <f t="shared" si="9"/>
        <v>#DIV/0!</v>
      </c>
      <c r="I35" s="402" t="e">
        <f t="shared" si="10"/>
        <v>#DIV/0!</v>
      </c>
      <c r="J35" s="289" t="e">
        <f t="shared" si="11"/>
        <v>#DIV/0!</v>
      </c>
      <c r="K35" s="393" t="e">
        <f t="shared" si="12"/>
        <v>#DIV/0!</v>
      </c>
      <c r="L35" s="289" t="e">
        <f t="shared" si="13"/>
        <v>#DIV/0!</v>
      </c>
      <c r="M35" s="393" t="e">
        <f t="shared" si="14"/>
        <v>#DIV/0!</v>
      </c>
      <c r="N35" s="289" t="e">
        <f t="shared" si="15"/>
        <v>#DIV/0!</v>
      </c>
      <c r="O35" s="393" t="e">
        <f t="shared" si="16"/>
        <v>#DIV/0!</v>
      </c>
      <c r="P35" s="289" t="e">
        <f t="shared" si="17"/>
        <v>#DIV/0!</v>
      </c>
      <c r="Q35" s="393">
        <f>D35*F35</f>
        <v>0</v>
      </c>
      <c r="R35" s="289" t="e">
        <f>Q35/divisor</f>
        <v>#DIV/0!</v>
      </c>
      <c r="S35" s="416"/>
      <c r="T35" s="287"/>
      <c r="U35" s="413"/>
      <c r="V35" s="287"/>
      <c r="W35" s="5"/>
    </row>
    <row r="36" spans="1:29">
      <c r="A36" s="3"/>
      <c r="B36" s="298" t="s">
        <v>98</v>
      </c>
      <c r="C36" s="299" t="str">
        <f>Sachaufwendungen!C42</f>
        <v>sonstige Aufwendungen</v>
      </c>
      <c r="D36" s="600">
        <f>Sachaufwendungen!L42</f>
        <v>0</v>
      </c>
      <c r="E36" s="284" t="e">
        <f t="shared" si="7"/>
        <v>#DIV/0!</v>
      </c>
      <c r="F36" s="284">
        <v>0.5</v>
      </c>
      <c r="G36" s="393" t="e">
        <f t="shared" si="8"/>
        <v>#DIV/0!</v>
      </c>
      <c r="H36" s="289" t="e">
        <f t="shared" si="9"/>
        <v>#DIV/0!</v>
      </c>
      <c r="I36" s="402" t="e">
        <f t="shared" si="10"/>
        <v>#DIV/0!</v>
      </c>
      <c r="J36" s="289" t="e">
        <f t="shared" si="11"/>
        <v>#DIV/0!</v>
      </c>
      <c r="K36" s="393" t="e">
        <f t="shared" si="12"/>
        <v>#DIV/0!</v>
      </c>
      <c r="L36" s="289" t="e">
        <f t="shared" si="13"/>
        <v>#DIV/0!</v>
      </c>
      <c r="M36" s="393" t="e">
        <f t="shared" si="14"/>
        <v>#DIV/0!</v>
      </c>
      <c r="N36" s="289" t="e">
        <f t="shared" si="15"/>
        <v>#DIV/0!</v>
      </c>
      <c r="O36" s="393" t="e">
        <f t="shared" si="16"/>
        <v>#DIV/0!</v>
      </c>
      <c r="P36" s="289" t="e">
        <f t="shared" si="17"/>
        <v>#DIV/0!</v>
      </c>
      <c r="Q36" s="393">
        <f>D36*F36</f>
        <v>0</v>
      </c>
      <c r="R36" s="289" t="e">
        <f>Q36/divisor</f>
        <v>#DIV/0!</v>
      </c>
      <c r="S36" s="416"/>
      <c r="T36" s="287"/>
      <c r="U36" s="413"/>
      <c r="V36" s="287"/>
      <c r="W36" s="5"/>
    </row>
    <row r="37" spans="1:29" s="75" customFormat="1">
      <c r="A37" s="292"/>
      <c r="B37" s="30"/>
      <c r="C37" s="30"/>
      <c r="D37" s="387"/>
      <c r="E37" s="294"/>
      <c r="F37" s="294"/>
      <c r="G37" s="394"/>
      <c r="H37" s="287"/>
      <c r="I37" s="394"/>
      <c r="J37" s="287"/>
      <c r="K37" s="394"/>
      <c r="L37" s="295"/>
      <c r="M37" s="394"/>
      <c r="N37" s="295"/>
      <c r="O37" s="394"/>
      <c r="P37" s="295"/>
      <c r="Q37" s="394"/>
      <c r="R37" s="287"/>
      <c r="S37" s="413"/>
      <c r="T37" s="287"/>
      <c r="U37" s="413"/>
      <c r="V37" s="287"/>
      <c r="W37" s="297"/>
      <c r="Y37" s="864"/>
      <c r="Z37" s="864"/>
      <c r="AA37" s="864"/>
      <c r="AB37" s="864"/>
      <c r="AC37" s="389"/>
    </row>
    <row r="38" spans="1:29">
      <c r="A38" s="3"/>
      <c r="B38" s="307" t="s">
        <v>174</v>
      </c>
      <c r="C38" s="308" t="s">
        <v>175</v>
      </c>
      <c r="D38" s="599">
        <f>SUM(D39:D46)</f>
        <v>0</v>
      </c>
      <c r="E38" s="284" t="e">
        <f t="shared" ref="E38:H38" si="18">SUM(E39:E46)</f>
        <v>#DIV/0!</v>
      </c>
      <c r="F38" s="284"/>
      <c r="G38" s="391" t="e">
        <f t="shared" si="18"/>
        <v>#DIV/0!</v>
      </c>
      <c r="H38" s="285" t="e">
        <f t="shared" si="18"/>
        <v>#DIV/0!</v>
      </c>
      <c r="I38" s="401" t="e">
        <f t="shared" ref="I38:R38" si="19">SUM(I39:I46)</f>
        <v>#DIV/0!</v>
      </c>
      <c r="J38" s="285" t="e">
        <f t="shared" si="19"/>
        <v>#DIV/0!</v>
      </c>
      <c r="K38" s="391" t="e">
        <f t="shared" si="19"/>
        <v>#DIV/0!</v>
      </c>
      <c r="L38" s="285" t="e">
        <f t="shared" si="19"/>
        <v>#DIV/0!</v>
      </c>
      <c r="M38" s="391" t="e">
        <f t="shared" si="19"/>
        <v>#DIV/0!</v>
      </c>
      <c r="N38" s="285" t="e">
        <f t="shared" si="19"/>
        <v>#DIV/0!</v>
      </c>
      <c r="O38" s="391" t="e">
        <f t="shared" si="19"/>
        <v>#DIV/0!</v>
      </c>
      <c r="P38" s="285" t="e">
        <f t="shared" si="19"/>
        <v>#DIV/0!</v>
      </c>
      <c r="Q38" s="405">
        <f t="shared" si="19"/>
        <v>0</v>
      </c>
      <c r="R38" s="286" t="e">
        <f t="shared" si="19"/>
        <v>#DIV/0!</v>
      </c>
      <c r="S38" s="413"/>
      <c r="T38" s="287"/>
      <c r="U38" s="413"/>
      <c r="V38" s="287"/>
      <c r="W38" s="5"/>
    </row>
    <row r="39" spans="1:29">
      <c r="A39" s="3"/>
      <c r="B39" s="309" t="str">
        <f>Sachaufwendungen!B52</f>
        <v>3.1</v>
      </c>
      <c r="C39" s="310" t="str">
        <f>Sachaufwendungen!C52</f>
        <v>Küche (ohne Pkt. 2.1)</v>
      </c>
      <c r="D39" s="600">
        <f>Sachaufwendungen!L52</f>
        <v>0</v>
      </c>
      <c r="E39" s="284" t="e">
        <f t="shared" ref="E39:E46" si="20">G39+I39+K39+M39+O39+Q39</f>
        <v>#DIV/0!</v>
      </c>
      <c r="F39" s="284">
        <v>0.5</v>
      </c>
      <c r="G39" s="393" t="e">
        <f t="shared" ref="G39:G46" si="21">D39*F39/divisor*$H$11</f>
        <v>#DIV/0!</v>
      </c>
      <c r="H39" s="289" t="e">
        <f t="shared" ref="H39:H46" si="22">G39/$H$11</f>
        <v>#DIV/0!</v>
      </c>
      <c r="I39" s="402" t="e">
        <f t="shared" ref="I39:I46" si="23">D39*F39/divisor*$J$11</f>
        <v>#DIV/0!</v>
      </c>
      <c r="J39" s="289" t="e">
        <f t="shared" ref="J39:J46" si="24">I39/$J$11</f>
        <v>#DIV/0!</v>
      </c>
      <c r="K39" s="393" t="e">
        <f t="shared" ref="K39:K46" si="25">D39*F39/divisor*$L$11</f>
        <v>#DIV/0!</v>
      </c>
      <c r="L39" s="289" t="e">
        <f t="shared" ref="L39:L46" si="26">K39/$L$11</f>
        <v>#DIV/0!</v>
      </c>
      <c r="M39" s="393" t="e">
        <f t="shared" ref="M39:M46" si="27">D39*F39/divisor*$N$11</f>
        <v>#DIV/0!</v>
      </c>
      <c r="N39" s="289" t="e">
        <f t="shared" ref="N39:N46" si="28">M39/$N$11</f>
        <v>#DIV/0!</v>
      </c>
      <c r="O39" s="393" t="e">
        <f t="shared" ref="O39:O46" si="29">D39*F39/divisor*$P$11</f>
        <v>#DIV/0!</v>
      </c>
      <c r="P39" s="289" t="e">
        <f t="shared" ref="P39:P46" si="30">O39/$P$11</f>
        <v>#DIV/0!</v>
      </c>
      <c r="Q39" s="393">
        <f>D39*F39</f>
        <v>0</v>
      </c>
      <c r="R39" s="289" t="e">
        <f t="shared" ref="R39:R46" si="31">Q39/divisor</f>
        <v>#DIV/0!</v>
      </c>
      <c r="S39" s="417"/>
      <c r="T39" s="377"/>
      <c r="U39" s="424"/>
      <c r="V39" s="377"/>
      <c r="W39" s="5"/>
    </row>
    <row r="40" spans="1:29">
      <c r="A40" s="3"/>
      <c r="B40" s="309" t="str">
        <f>Sachaufwendungen!B53</f>
        <v>3.2</v>
      </c>
      <c r="C40" s="310" t="str">
        <f>Sachaufwendungen!C53</f>
        <v>Wäscherei</v>
      </c>
      <c r="D40" s="600">
        <f>Sachaufwendungen!L53</f>
        <v>0</v>
      </c>
      <c r="E40" s="284" t="e">
        <f t="shared" si="20"/>
        <v>#DIV/0!</v>
      </c>
      <c r="F40" s="284">
        <v>0.5</v>
      </c>
      <c r="G40" s="393" t="e">
        <f t="shared" si="21"/>
        <v>#DIV/0!</v>
      </c>
      <c r="H40" s="289" t="e">
        <f t="shared" si="22"/>
        <v>#DIV/0!</v>
      </c>
      <c r="I40" s="402" t="e">
        <f t="shared" si="23"/>
        <v>#DIV/0!</v>
      </c>
      <c r="J40" s="289" t="e">
        <f t="shared" si="24"/>
        <v>#DIV/0!</v>
      </c>
      <c r="K40" s="393" t="e">
        <f t="shared" si="25"/>
        <v>#DIV/0!</v>
      </c>
      <c r="L40" s="289" t="e">
        <f t="shared" si="26"/>
        <v>#DIV/0!</v>
      </c>
      <c r="M40" s="393" t="e">
        <f t="shared" si="27"/>
        <v>#DIV/0!</v>
      </c>
      <c r="N40" s="289" t="e">
        <f t="shared" si="28"/>
        <v>#DIV/0!</v>
      </c>
      <c r="O40" s="393" t="e">
        <f t="shared" si="29"/>
        <v>#DIV/0!</v>
      </c>
      <c r="P40" s="289" t="e">
        <f t="shared" si="30"/>
        <v>#DIV/0!</v>
      </c>
      <c r="Q40" s="393">
        <f t="shared" ref="Q40:Q46" si="32">D40*F40</f>
        <v>0</v>
      </c>
      <c r="R40" s="289" t="e">
        <f t="shared" si="31"/>
        <v>#DIV/0!</v>
      </c>
      <c r="S40" s="418"/>
      <c r="T40" s="377"/>
      <c r="U40" s="424"/>
      <c r="V40" s="377"/>
      <c r="W40" s="311"/>
    </row>
    <row r="41" spans="1:29">
      <c r="A41" s="3"/>
      <c r="B41" s="309" t="str">
        <f>Sachaufwendungen!B54</f>
        <v>3.3</v>
      </c>
      <c r="C41" s="310" t="str">
        <f>Sachaufwendungen!C54</f>
        <v>Wäschekennzeichnung</v>
      </c>
      <c r="D41" s="600">
        <f>Sachaufwendungen!L54</f>
        <v>0</v>
      </c>
      <c r="E41" s="284" t="e">
        <f t="shared" si="20"/>
        <v>#DIV/0!</v>
      </c>
      <c r="F41" s="284">
        <v>0.5</v>
      </c>
      <c r="G41" s="393" t="e">
        <f t="shared" si="21"/>
        <v>#DIV/0!</v>
      </c>
      <c r="H41" s="289" t="e">
        <f t="shared" si="22"/>
        <v>#DIV/0!</v>
      </c>
      <c r="I41" s="402" t="e">
        <f t="shared" si="23"/>
        <v>#DIV/0!</v>
      </c>
      <c r="J41" s="289" t="e">
        <f t="shared" si="24"/>
        <v>#DIV/0!</v>
      </c>
      <c r="K41" s="393" t="e">
        <f t="shared" si="25"/>
        <v>#DIV/0!</v>
      </c>
      <c r="L41" s="289" t="e">
        <f t="shared" si="26"/>
        <v>#DIV/0!</v>
      </c>
      <c r="M41" s="393" t="e">
        <f t="shared" si="27"/>
        <v>#DIV/0!</v>
      </c>
      <c r="N41" s="289" t="e">
        <f t="shared" si="28"/>
        <v>#DIV/0!</v>
      </c>
      <c r="O41" s="393" t="e">
        <f t="shared" si="29"/>
        <v>#DIV/0!</v>
      </c>
      <c r="P41" s="289" t="e">
        <f t="shared" si="30"/>
        <v>#DIV/0!</v>
      </c>
      <c r="Q41" s="393">
        <f t="shared" si="32"/>
        <v>0</v>
      </c>
      <c r="R41" s="289" t="e">
        <f t="shared" si="31"/>
        <v>#DIV/0!</v>
      </c>
      <c r="S41" s="418"/>
      <c r="T41" s="377"/>
      <c r="U41" s="424"/>
      <c r="V41" s="377"/>
      <c r="W41" s="5"/>
    </row>
    <row r="42" spans="1:29">
      <c r="A42" s="3"/>
      <c r="B42" s="309" t="str">
        <f>Sachaufwendungen!B55</f>
        <v>3.4</v>
      </c>
      <c r="C42" s="310" t="str">
        <f>Sachaufwendungen!C55</f>
        <v>Reinigung</v>
      </c>
      <c r="D42" s="600">
        <f>Sachaufwendungen!L55</f>
        <v>0</v>
      </c>
      <c r="E42" s="284" t="e">
        <f t="shared" si="20"/>
        <v>#DIV/0!</v>
      </c>
      <c r="F42" s="284">
        <v>0.5</v>
      </c>
      <c r="G42" s="393" t="e">
        <f t="shared" si="21"/>
        <v>#DIV/0!</v>
      </c>
      <c r="H42" s="289" t="e">
        <f t="shared" si="22"/>
        <v>#DIV/0!</v>
      </c>
      <c r="I42" s="402" t="e">
        <f t="shared" si="23"/>
        <v>#DIV/0!</v>
      </c>
      <c r="J42" s="289" t="e">
        <f t="shared" si="24"/>
        <v>#DIV/0!</v>
      </c>
      <c r="K42" s="393" t="e">
        <f t="shared" si="25"/>
        <v>#DIV/0!</v>
      </c>
      <c r="L42" s="289" t="e">
        <f t="shared" si="26"/>
        <v>#DIV/0!</v>
      </c>
      <c r="M42" s="393" t="e">
        <f t="shared" si="27"/>
        <v>#DIV/0!</v>
      </c>
      <c r="N42" s="289" t="e">
        <f t="shared" si="28"/>
        <v>#DIV/0!</v>
      </c>
      <c r="O42" s="393" t="e">
        <f t="shared" si="29"/>
        <v>#DIV/0!</v>
      </c>
      <c r="P42" s="289" t="e">
        <f t="shared" si="30"/>
        <v>#DIV/0!</v>
      </c>
      <c r="Q42" s="393">
        <f t="shared" si="32"/>
        <v>0</v>
      </c>
      <c r="R42" s="289" t="e">
        <f t="shared" si="31"/>
        <v>#DIV/0!</v>
      </c>
      <c r="S42" s="419"/>
      <c r="T42" s="378"/>
      <c r="U42" s="425"/>
      <c r="V42" s="378"/>
      <c r="W42" s="5"/>
    </row>
    <row r="43" spans="1:29">
      <c r="A43" s="3"/>
      <c r="B43" s="309" t="str">
        <f>Sachaufwendungen!B56</f>
        <v>3.5</v>
      </c>
      <c r="C43" s="310" t="str">
        <f>Sachaufwendungen!C56</f>
        <v>Verwaltung</v>
      </c>
      <c r="D43" s="600">
        <f>Sachaufwendungen!L56</f>
        <v>0</v>
      </c>
      <c r="E43" s="284" t="e">
        <f t="shared" si="20"/>
        <v>#DIV/0!</v>
      </c>
      <c r="F43" s="284">
        <v>0.5</v>
      </c>
      <c r="G43" s="393" t="e">
        <f t="shared" si="21"/>
        <v>#DIV/0!</v>
      </c>
      <c r="H43" s="289" t="e">
        <f t="shared" si="22"/>
        <v>#DIV/0!</v>
      </c>
      <c r="I43" s="402" t="e">
        <f t="shared" si="23"/>
        <v>#DIV/0!</v>
      </c>
      <c r="J43" s="289" t="e">
        <f t="shared" si="24"/>
        <v>#DIV/0!</v>
      </c>
      <c r="K43" s="393" t="e">
        <f t="shared" si="25"/>
        <v>#DIV/0!</v>
      </c>
      <c r="L43" s="289" t="e">
        <f t="shared" si="26"/>
        <v>#DIV/0!</v>
      </c>
      <c r="M43" s="393" t="e">
        <f t="shared" si="27"/>
        <v>#DIV/0!</v>
      </c>
      <c r="N43" s="289" t="e">
        <f t="shared" si="28"/>
        <v>#DIV/0!</v>
      </c>
      <c r="O43" s="393" t="e">
        <f t="shared" si="29"/>
        <v>#DIV/0!</v>
      </c>
      <c r="P43" s="289" t="e">
        <f t="shared" si="30"/>
        <v>#DIV/0!</v>
      </c>
      <c r="Q43" s="393">
        <f t="shared" si="32"/>
        <v>0</v>
      </c>
      <c r="R43" s="289" t="e">
        <f t="shared" si="31"/>
        <v>#DIV/0!</v>
      </c>
      <c r="S43" s="413"/>
      <c r="T43" s="287"/>
      <c r="U43" s="413"/>
      <c r="V43" s="287"/>
      <c r="W43" s="5"/>
    </row>
    <row r="44" spans="1:29">
      <c r="A44" s="3"/>
      <c r="B44" s="309" t="str">
        <f>Sachaufwendungen!B57</f>
        <v>3.6</v>
      </c>
      <c r="C44" s="310" t="str">
        <f>IF(Sachaufwendungen!C57&gt;0,Sachaufwendungen!C57,"")</f>
        <v>Haustechnik</v>
      </c>
      <c r="D44" s="600">
        <f>Sachaufwendungen!L57</f>
        <v>0</v>
      </c>
      <c r="E44" s="284" t="e">
        <f>G44+I44+K44+M44+O44+Q44</f>
        <v>#DIV/0!</v>
      </c>
      <c r="F44" s="284">
        <v>0.5</v>
      </c>
      <c r="G44" s="393" t="e">
        <f t="shared" si="21"/>
        <v>#DIV/0!</v>
      </c>
      <c r="H44" s="289" t="e">
        <f t="shared" si="22"/>
        <v>#DIV/0!</v>
      </c>
      <c r="I44" s="402" t="e">
        <f t="shared" si="23"/>
        <v>#DIV/0!</v>
      </c>
      <c r="J44" s="289" t="e">
        <f t="shared" si="24"/>
        <v>#DIV/0!</v>
      </c>
      <c r="K44" s="393" t="e">
        <f t="shared" si="25"/>
        <v>#DIV/0!</v>
      </c>
      <c r="L44" s="289" t="e">
        <f t="shared" si="26"/>
        <v>#DIV/0!</v>
      </c>
      <c r="M44" s="393" t="e">
        <f t="shared" si="27"/>
        <v>#DIV/0!</v>
      </c>
      <c r="N44" s="289" t="e">
        <f t="shared" si="28"/>
        <v>#DIV/0!</v>
      </c>
      <c r="O44" s="393" t="e">
        <f t="shared" si="29"/>
        <v>#DIV/0!</v>
      </c>
      <c r="P44" s="289" t="e">
        <f t="shared" si="30"/>
        <v>#DIV/0!</v>
      </c>
      <c r="Q44" s="393">
        <f t="shared" si="32"/>
        <v>0</v>
      </c>
      <c r="R44" s="289" t="e">
        <f t="shared" si="31"/>
        <v>#DIV/0!</v>
      </c>
      <c r="S44" s="413"/>
      <c r="T44" s="287"/>
      <c r="U44" s="413"/>
      <c r="V44" s="287"/>
      <c r="W44" s="5"/>
    </row>
    <row r="45" spans="1:29">
      <c r="A45" s="3"/>
      <c r="B45" s="309" t="str">
        <f>Sachaufwendungen!B58</f>
        <v>3.7</v>
      </c>
      <c r="C45" s="310" t="str">
        <f>IF(Sachaufwendungen!C58&gt;0,Sachaufwendungen!C58,"")</f>
        <v/>
      </c>
      <c r="D45" s="600">
        <f>Sachaufwendungen!L58</f>
        <v>0</v>
      </c>
      <c r="E45" s="284" t="e">
        <f>G45+I45+K45+M45+O45+Q45</f>
        <v>#DIV/0!</v>
      </c>
      <c r="F45" s="284">
        <v>0.5</v>
      </c>
      <c r="G45" s="393" t="e">
        <f>D45*F45/divisor*$H$11</f>
        <v>#DIV/0!</v>
      </c>
      <c r="H45" s="289" t="e">
        <f t="shared" si="22"/>
        <v>#DIV/0!</v>
      </c>
      <c r="I45" s="402" t="e">
        <f t="shared" si="23"/>
        <v>#DIV/0!</v>
      </c>
      <c r="J45" s="289" t="e">
        <f>I45/$J$11</f>
        <v>#DIV/0!</v>
      </c>
      <c r="K45" s="393" t="e">
        <f t="shared" ref="K45" si="33">D45*F45/divisor*$L$11</f>
        <v>#DIV/0!</v>
      </c>
      <c r="L45" s="289" t="e">
        <f t="shared" ref="L45" si="34">K45/$L$11</f>
        <v>#DIV/0!</v>
      </c>
      <c r="M45" s="393" t="e">
        <f t="shared" ref="M45" si="35">D45*F45/divisor*$N$11</f>
        <v>#DIV/0!</v>
      </c>
      <c r="N45" s="289" t="e">
        <f t="shared" ref="N45" si="36">M45/$N$11</f>
        <v>#DIV/0!</v>
      </c>
      <c r="O45" s="393" t="e">
        <f t="shared" ref="O45" si="37">D45*F45/divisor*$P$11</f>
        <v>#DIV/0!</v>
      </c>
      <c r="P45" s="289" t="e">
        <f t="shared" ref="P45" si="38">O45/$P$11</f>
        <v>#DIV/0!</v>
      </c>
      <c r="Q45" s="393">
        <f t="shared" ref="Q45" si="39">D45*F45</f>
        <v>0</v>
      </c>
      <c r="R45" s="289" t="e">
        <f t="shared" ref="R45" si="40">Q45/divisor</f>
        <v>#DIV/0!</v>
      </c>
      <c r="S45" s="413"/>
      <c r="T45" s="287"/>
      <c r="U45" s="413"/>
      <c r="V45" s="287"/>
      <c r="W45" s="5"/>
      <c r="Y45" s="822" t="s">
        <v>528</v>
      </c>
    </row>
    <row r="46" spans="1:29">
      <c r="A46" s="3"/>
      <c r="B46" s="309" t="str">
        <f>Sachaufwendungen!B59</f>
        <v>3.8</v>
      </c>
      <c r="C46" s="310" t="str">
        <f>IF(Sachaufwendungen!C59&gt;0,Sachaufwendungen!C59,"")</f>
        <v/>
      </c>
      <c r="D46" s="600">
        <f>Sachaufwendungen!L59</f>
        <v>0</v>
      </c>
      <c r="E46" s="284" t="e">
        <f t="shared" si="20"/>
        <v>#DIV/0!</v>
      </c>
      <c r="F46" s="284">
        <v>0.5</v>
      </c>
      <c r="G46" s="393" t="e">
        <f t="shared" si="21"/>
        <v>#DIV/0!</v>
      </c>
      <c r="H46" s="289" t="e">
        <f t="shared" si="22"/>
        <v>#DIV/0!</v>
      </c>
      <c r="I46" s="402" t="e">
        <f t="shared" si="23"/>
        <v>#DIV/0!</v>
      </c>
      <c r="J46" s="289" t="e">
        <f t="shared" si="24"/>
        <v>#DIV/0!</v>
      </c>
      <c r="K46" s="393" t="e">
        <f t="shared" si="25"/>
        <v>#DIV/0!</v>
      </c>
      <c r="L46" s="289" t="e">
        <f t="shared" si="26"/>
        <v>#DIV/0!</v>
      </c>
      <c r="M46" s="393" t="e">
        <f t="shared" si="27"/>
        <v>#DIV/0!</v>
      </c>
      <c r="N46" s="289" t="e">
        <f t="shared" si="28"/>
        <v>#DIV/0!</v>
      </c>
      <c r="O46" s="393" t="e">
        <f t="shared" si="29"/>
        <v>#DIV/0!</v>
      </c>
      <c r="P46" s="289" t="e">
        <f t="shared" si="30"/>
        <v>#DIV/0!</v>
      </c>
      <c r="Q46" s="393">
        <f t="shared" si="32"/>
        <v>0</v>
      </c>
      <c r="R46" s="289" t="e">
        <f t="shared" si="31"/>
        <v>#DIV/0!</v>
      </c>
      <c r="S46" s="413"/>
      <c r="T46" s="287"/>
      <c r="U46" s="413"/>
      <c r="V46" s="287"/>
      <c r="W46" s="5"/>
    </row>
    <row r="47" spans="1:29">
      <c r="A47" s="3"/>
      <c r="B47" s="30"/>
      <c r="C47" s="160"/>
      <c r="D47" s="312"/>
      <c r="E47" s="313"/>
      <c r="F47" s="313"/>
      <c r="G47" s="396"/>
      <c r="H47" s="315"/>
      <c r="I47" s="403"/>
      <c r="J47" s="315"/>
      <c r="K47" s="406"/>
      <c r="L47" s="314"/>
      <c r="M47" s="396"/>
      <c r="N47" s="314"/>
      <c r="O47" s="396"/>
      <c r="P47" s="314"/>
      <c r="Q47" s="411"/>
      <c r="R47" s="316"/>
      <c r="S47" s="313"/>
      <c r="T47" s="316"/>
      <c r="U47" s="313"/>
      <c r="V47" s="316"/>
      <c r="W47" s="5"/>
    </row>
    <row r="48" spans="1:29" s="322" customFormat="1">
      <c r="A48" s="317"/>
      <c r="B48" s="318"/>
      <c r="C48" s="279" t="str">
        <f>IF('Allgemeine Angaben'!D7&lt;&gt;"vst","errechnete Aufwendungen:","errechnete Aufwendungen nach Pflegegrad 2 bis 5:")</f>
        <v>errechnete Aufwendungen:</v>
      </c>
      <c r="D48" s="600">
        <f>I48+K48+M48+O48</f>
        <v>0</v>
      </c>
      <c r="E48" s="863" t="e">
        <f>D38+D26+D16-Q16-Q26-Q38-S26-G48</f>
        <v>#VALUE!</v>
      </c>
      <c r="F48" s="284"/>
      <c r="G48" s="397" t="e">
        <f>H48*H11</f>
        <v>#VALUE!</v>
      </c>
      <c r="H48" s="597" t="e">
        <f>IF(Belegung!E26=0,ROUND(Gesamtkalkulation!J52*0.78,2),ROUND((Gesamtkalkulation!H16+Gesamtkalkulation!H26+Gesamtkalkulation!H38),2))</f>
        <v>#VALUE!</v>
      </c>
      <c r="I48" s="404">
        <f>IFERROR(J48*J11,0)</f>
        <v>0</v>
      </c>
      <c r="J48" s="319" t="str">
        <f>IF(ISERROR(J38+J26+J16),"",(J38+J26+J16))</f>
        <v/>
      </c>
      <c r="K48" s="404">
        <f>IFERROR(L48*L11,0)</f>
        <v>0</v>
      </c>
      <c r="L48" s="319" t="str">
        <f>IF(ISERROR(L38+L26+L16),"",((L38+L26+L16)))</f>
        <v/>
      </c>
      <c r="M48" s="404">
        <f>IFERROR(N48*N11,0)</f>
        <v>0</v>
      </c>
      <c r="N48" s="319" t="str">
        <f>IF(ISERROR(N38+N26+N16),"",(N38+N26+N16))</f>
        <v/>
      </c>
      <c r="O48" s="404">
        <f>IFERROR(P48*P11,0)</f>
        <v>0</v>
      </c>
      <c r="P48" s="319" t="str">
        <f>IF(ISERROR(P38+P26+P16),"",(P38+P26+P16))</f>
        <v/>
      </c>
      <c r="Q48" s="412"/>
      <c r="R48" s="320"/>
      <c r="S48" s="420"/>
      <c r="T48" s="320"/>
      <c r="U48" s="426"/>
      <c r="V48" s="320"/>
      <c r="W48" s="321"/>
      <c r="X48" s="79"/>
      <c r="Y48" s="864"/>
      <c r="Z48" s="864"/>
      <c r="AA48" s="864"/>
      <c r="AB48" s="864"/>
      <c r="AC48" s="640"/>
    </row>
    <row r="49" spans="1:34">
      <c r="A49" s="3"/>
      <c r="B49" s="318"/>
      <c r="C49" s="279" t="s">
        <v>176</v>
      </c>
      <c r="D49" s="600" t="str">
        <f>IF('Allgemeine Angaben'!D7="vst",(((J12*J10)+(L12*L10)+(N12*N10)+(P12*P10))*12)*$L$6/100,"")</f>
        <v/>
      </c>
      <c r="E49" s="284" t="str">
        <f>IF('Allgemeine Angaben'!D7="vst",I49+K49+M49+O49,"")</f>
        <v/>
      </c>
      <c r="F49" s="284"/>
      <c r="G49" s="398"/>
      <c r="H49" s="552"/>
      <c r="I49" s="404" t="str">
        <f>IF('Allgemeine Angaben'!D7="vst",J12/($P$6)*J11,"")</f>
        <v/>
      </c>
      <c r="J49" s="319" t="str">
        <f>IF('Allgemeine Angaben'!D7="vst",I49/J11,"")</f>
        <v/>
      </c>
      <c r="K49" s="404" t="str">
        <f>IF('Allgemeine Angaben'!D7="vst",L12/($P$6)*L11,"")</f>
        <v/>
      </c>
      <c r="L49" s="319" t="str">
        <f>IF('Allgemeine Angaben'!D7="vst",K49/L11,"")</f>
        <v/>
      </c>
      <c r="M49" s="404" t="str">
        <f>IF('Allgemeine Angaben'!D7="vst",N12/($P$6)*N11,"")</f>
        <v/>
      </c>
      <c r="N49" s="319" t="str">
        <f>IF('Allgemeine Angaben'!D7="vst",M49/N11,"")</f>
        <v/>
      </c>
      <c r="O49" s="404" t="str">
        <f>IF('Allgemeine Angaben'!D7="vst",P12/($P$6)*P11,"")</f>
        <v/>
      </c>
      <c r="P49" s="319" t="str">
        <f>IF('Allgemeine Angaben'!D7="vst",O49/P11,"")</f>
        <v/>
      </c>
      <c r="Q49" s="412"/>
      <c r="R49" s="320"/>
      <c r="S49" s="420"/>
      <c r="T49" s="323"/>
      <c r="U49" s="427"/>
      <c r="V49" s="323"/>
      <c r="W49" s="5"/>
      <c r="X49" s="707"/>
    </row>
    <row r="50" spans="1:34">
      <c r="A50" s="3"/>
      <c r="B50" s="318"/>
      <c r="C50" s="279" t="s">
        <v>177</v>
      </c>
      <c r="D50" s="600" t="str">
        <f>IF('Allgemeine Angaben'!D7="vst",D48-D49,"")</f>
        <v/>
      </c>
      <c r="E50" s="284" t="str">
        <f>IF('Allgemeine Angaben'!D7="vst",I50+K50+M50+O50,"")</f>
        <v/>
      </c>
      <c r="F50" s="284"/>
      <c r="G50" s="398"/>
      <c r="H50" s="552"/>
      <c r="I50" s="404" t="str">
        <f>IF('Allgemeine Angaben'!D7="vst",(I48-I49),"")</f>
        <v/>
      </c>
      <c r="J50" s="319" t="str">
        <f>IF('Allgemeine Angaben'!$D$7="vst",ROUND($D$50/eeadivisor,2),"")</f>
        <v/>
      </c>
      <c r="K50" s="404" t="str">
        <f>IF('Allgemeine Angaben'!D7="vst",(K48-K49),"")</f>
        <v/>
      </c>
      <c r="L50" s="319" t="str">
        <f>IF('Allgemeine Angaben'!$D$7="vst",ROUND($D$50/eeadivisor,2),"")</f>
        <v/>
      </c>
      <c r="M50" s="404" t="str">
        <f>IF('Allgemeine Angaben'!D7="vst",(M48-M49),"")</f>
        <v/>
      </c>
      <c r="N50" s="319" t="str">
        <f>IF('Allgemeine Angaben'!$D$7="vst",ROUND($D$50/eeadivisor,2),"")</f>
        <v/>
      </c>
      <c r="O50" s="404" t="str">
        <f>IF('Allgemeine Angaben'!D7="vst",(O48-O49),"")</f>
        <v/>
      </c>
      <c r="P50" s="319" t="str">
        <f>IF('Allgemeine Angaben'!$D$7="vst",ROUND($D$50/eeadivisor,2),"")</f>
        <v/>
      </c>
      <c r="Q50" s="412"/>
      <c r="R50" s="329" t="s">
        <v>181</v>
      </c>
      <c r="S50" s="420"/>
      <c r="T50" s="323"/>
      <c r="U50" s="427"/>
      <c r="V50" s="323"/>
      <c r="W50" s="5"/>
      <c r="X50" s="75"/>
      <c r="Y50" s="866" t="s">
        <v>602</v>
      </c>
    </row>
    <row r="51" spans="1:34" ht="15" thickBot="1">
      <c r="A51" s="3"/>
      <c r="B51" s="30"/>
      <c r="C51" s="160"/>
      <c r="D51" s="30"/>
      <c r="E51" s="9"/>
      <c r="F51" s="30"/>
      <c r="G51" s="269"/>
      <c r="H51" s="324"/>
      <c r="I51" s="328"/>
      <c r="J51" s="325"/>
      <c r="K51" s="328"/>
      <c r="L51" s="325"/>
      <c r="M51" s="328"/>
      <c r="N51" s="325"/>
      <c r="O51" s="328"/>
      <c r="P51" s="325"/>
      <c r="Q51" s="328"/>
      <c r="R51" s="727"/>
      <c r="S51" s="326"/>
      <c r="T51" s="324"/>
      <c r="U51" s="328"/>
      <c r="V51" s="324"/>
      <c r="W51" s="5"/>
      <c r="X51" s="75"/>
      <c r="Y51" s="866" t="s">
        <v>502</v>
      </c>
      <c r="Z51" s="866" t="s">
        <v>603</v>
      </c>
      <c r="AA51" s="866"/>
      <c r="AB51" s="866"/>
      <c r="AC51" s="931"/>
      <c r="AH51" s="28"/>
    </row>
    <row r="52" spans="1:34" ht="15" thickBot="1">
      <c r="A52" s="3"/>
      <c r="B52" s="30"/>
      <c r="C52" s="160"/>
      <c r="D52" s="94" t="s">
        <v>178</v>
      </c>
      <c r="E52" s="9"/>
      <c r="F52" s="266"/>
      <c r="G52" s="224" t="s">
        <v>135</v>
      </c>
      <c r="H52" s="327" t="str">
        <f>IF(ISERROR(H48),"",H48)</f>
        <v/>
      </c>
      <c r="I52" s="224" t="s">
        <v>136</v>
      </c>
      <c r="J52" s="641" t="e">
        <f>ROUND(J12/$P$6+J50,2)</f>
        <v>#VALUE!</v>
      </c>
      <c r="K52" s="224" t="s">
        <v>137</v>
      </c>
      <c r="L52" s="327" t="e">
        <f>ROUND(L12/$P$6+L50,2)</f>
        <v>#VALUE!</v>
      </c>
      <c r="M52" s="224" t="s">
        <v>138</v>
      </c>
      <c r="N52" s="327" t="e">
        <f>ROUND(N12/$P$6+N50,2)</f>
        <v>#VALUE!</v>
      </c>
      <c r="O52" s="224" t="s">
        <v>139</v>
      </c>
      <c r="P52" s="327" t="e">
        <f>ROUND(P12/$P$6+P50,2)</f>
        <v>#VALUE!</v>
      </c>
      <c r="Q52" s="224" t="s">
        <v>179</v>
      </c>
      <c r="R52" s="327" t="e">
        <f>IF(ROUND(R38+R26+R16,2)=0,"",ROUND(R38+R26+R16,2))</f>
        <v>#DIV/0!</v>
      </c>
      <c r="S52" s="421" t="s">
        <v>180</v>
      </c>
      <c r="T52" s="327" t="e">
        <f>IF(T26=0,"",ROUND(T26,2))</f>
        <v>#DIV/0!</v>
      </c>
      <c r="U52" s="715" t="s">
        <v>240</v>
      </c>
      <c r="V52" s="976" t="e">
        <f>ROUND(V19-0.03,2)</f>
        <v>#VALUE!</v>
      </c>
      <c r="W52" s="5"/>
      <c r="X52" s="79"/>
      <c r="Y52" s="866" t="s">
        <v>503</v>
      </c>
      <c r="Z52" s="866" t="s">
        <v>604</v>
      </c>
      <c r="AA52" s="866"/>
      <c r="AB52" s="866"/>
      <c r="AC52" s="931"/>
      <c r="AH52" s="28"/>
    </row>
    <row r="53" spans="1:34" ht="15.75" customHeight="1">
      <c r="A53" s="3"/>
      <c r="B53" s="30"/>
      <c r="C53" s="160"/>
      <c r="D53" s="224"/>
      <c r="E53" s="324"/>
      <c r="F53" s="324"/>
      <c r="G53" s="253"/>
      <c r="H53" s="324"/>
      <c r="I53" s="245"/>
      <c r="J53" s="245"/>
      <c r="K53" s="245"/>
      <c r="L53" s="245"/>
      <c r="M53" s="245"/>
      <c r="N53" s="324"/>
      <c r="O53" s="324"/>
      <c r="P53" s="324"/>
      <c r="Q53" s="324"/>
      <c r="R53" s="324"/>
      <c r="S53" s="324"/>
      <c r="T53" s="324"/>
      <c r="U53" s="324"/>
      <c r="V53" s="324"/>
      <c r="W53" s="5"/>
      <c r="X53" s="225"/>
      <c r="Y53" s="866" t="s">
        <v>504</v>
      </c>
      <c r="Z53" s="866" t="s">
        <v>605</v>
      </c>
      <c r="AA53" s="866"/>
      <c r="AB53" s="866"/>
      <c r="AC53" s="931"/>
    </row>
    <row r="54" spans="1:34">
      <c r="A54" s="3"/>
      <c r="B54" s="9"/>
      <c r="C54" s="716" t="str">
        <f>IF('Allgemeine Angaben'!L45&gt;0,"errechnete Pflegesätze (Tag je Platz) für angebundene Kurzzeitpflege:","")</f>
        <v/>
      </c>
      <c r="D54" s="9"/>
      <c r="E54" s="9"/>
      <c r="F54" s="9"/>
      <c r="G54" s="224" t="str">
        <f>IF('Allgemeine Angaben'!$L$45&gt;0,Gesamtkalkulation!G52,"")</f>
        <v/>
      </c>
      <c r="H54" s="719" t="e">
        <f>IF(Belegung!E26&gt;0,Gesamtkalkulation!H48*0.96/0.9,J54*0.78)</f>
        <v>#VALUE!</v>
      </c>
      <c r="I54" s="224" t="str">
        <f>IF('Allgemeine Angaben'!$L$45&gt;0,Gesamtkalkulation!I52,"")</f>
        <v/>
      </c>
      <c r="J54" s="719" t="str">
        <f>IF('Allgemeine Angaben'!$L$45&gt;0,Gesamtkalkulation!J48*0.96/0.9,"")</f>
        <v/>
      </c>
      <c r="K54" s="224" t="str">
        <f>IF('Allgemeine Angaben'!$L$45&gt;0,Gesamtkalkulation!K52,"")</f>
        <v/>
      </c>
      <c r="L54" s="719" t="str">
        <f>IF('Allgemeine Angaben'!$L$45&gt;0,Gesamtkalkulation!L48*0.96/0.9,"")</f>
        <v/>
      </c>
      <c r="M54" s="224" t="str">
        <f>IF('Allgemeine Angaben'!$L$45&gt;0,Gesamtkalkulation!M52,"")</f>
        <v/>
      </c>
      <c r="N54" s="719" t="str">
        <f>IF('Allgemeine Angaben'!$L$45&gt;0,Gesamtkalkulation!N48*0.96/0.9,"")</f>
        <v/>
      </c>
      <c r="O54" s="224" t="str">
        <f>IF('Allgemeine Angaben'!$L$45&gt;0,Gesamtkalkulation!O52,"")</f>
        <v/>
      </c>
      <c r="P54" s="719" t="str">
        <f>IF('Allgemeine Angaben'!$L$45&gt;0,Gesamtkalkulation!P48*0.96/0.9,"")</f>
        <v/>
      </c>
      <c r="Q54" s="224" t="str">
        <f>IF('Allgemeine Angaben'!$L$45&gt;0,Gesamtkalkulation!Q52,"")</f>
        <v/>
      </c>
      <c r="R54" s="719" t="str">
        <f>IF('Allgemeine Angaben'!$L$45&gt;0,Gesamtkalkulation!R52*0.96/0.9,"")</f>
        <v/>
      </c>
      <c r="S54" s="224" t="str">
        <f>IF('Allgemeine Angaben'!$L$45&gt;0,Gesamtkalkulation!S52,"")</f>
        <v/>
      </c>
      <c r="T54" s="719" t="str">
        <f>IF('Allgemeine Angaben'!$L$45&gt;0,Gesamtkalkulation!T52*0.96/0.9,"")</f>
        <v/>
      </c>
      <c r="U54" s="9"/>
      <c r="V54" s="719" t="str">
        <f>IF('Allgemeine Angaben'!$L$45&gt;0,Gesamtkalkulation!V52+0.03,"")</f>
        <v/>
      </c>
      <c r="W54" s="5"/>
      <c r="Y54" s="865" t="s">
        <v>505</v>
      </c>
      <c r="Z54" s="866" t="s">
        <v>606</v>
      </c>
    </row>
    <row r="55" spans="1:34">
      <c r="A55" s="71"/>
      <c r="B55" s="72"/>
      <c r="C55" s="728"/>
      <c r="D55" s="72"/>
      <c r="E55" s="72"/>
      <c r="F55" s="72"/>
      <c r="G55" s="729"/>
      <c r="H55" s="72"/>
      <c r="I55" s="729"/>
      <c r="J55" s="72"/>
      <c r="K55" s="729"/>
      <c r="L55" s="52"/>
      <c r="M55" s="729"/>
      <c r="N55" s="52"/>
      <c r="O55" s="729"/>
      <c r="P55" s="52"/>
      <c r="Q55" s="729"/>
      <c r="R55" s="72"/>
      <c r="S55" s="729"/>
      <c r="T55" s="72"/>
      <c r="U55" s="72"/>
      <c r="V55" s="72"/>
      <c r="W55" s="73"/>
      <c r="Y55" s="875" t="s">
        <v>507</v>
      </c>
      <c r="Z55" s="866" t="s">
        <v>508</v>
      </c>
    </row>
    <row r="56" spans="1:34" ht="15" thickBot="1">
      <c r="C56" s="716"/>
      <c r="G56" s="224"/>
      <c r="I56" s="224"/>
      <c r="K56" s="224"/>
      <c r="L56" s="28"/>
      <c r="M56" s="224"/>
      <c r="N56" s="28"/>
      <c r="O56" s="224"/>
      <c r="P56" s="28"/>
      <c r="Q56" s="224"/>
      <c r="S56" s="224"/>
      <c r="Y56" s="865"/>
    </row>
    <row r="57" spans="1:34" ht="15" thickBot="1">
      <c r="C57" s="30"/>
      <c r="D57" s="331"/>
      <c r="E57" s="332"/>
      <c r="F57" s="332"/>
      <c r="G57" s="332"/>
      <c r="H57" s="1349" t="s">
        <v>183</v>
      </c>
      <c r="I57" s="1489"/>
      <c r="J57" s="1489"/>
      <c r="K57" s="1489"/>
      <c r="L57" s="1489"/>
      <c r="M57" s="1489"/>
      <c r="N57" s="1490"/>
      <c r="O57" s="717"/>
      <c r="X57" s="150"/>
      <c r="Y57" s="866" t="s">
        <v>511</v>
      </c>
    </row>
    <row r="58" spans="1:34">
      <c r="Y58" s="640"/>
    </row>
    <row r="59" spans="1:34">
      <c r="Y59" s="1091" t="s">
        <v>615</v>
      </c>
    </row>
    <row r="60" spans="1:34">
      <c r="Y60" s="864" t="s">
        <v>616</v>
      </c>
    </row>
    <row r="61" spans="1:34">
      <c r="I61" s="947"/>
      <c r="Y61" s="864" t="s">
        <v>617</v>
      </c>
    </row>
    <row r="62" spans="1:34">
      <c r="I62" s="947"/>
    </row>
  </sheetData>
  <sheetProtection algorithmName="SHA-512" hashValue="CXweBRbC9SWObX7sft6ttkjBLIWWYYe7VCHSh2+7pTOEpiAbOXNNBgy/RR77mmiPTTN5CHREEtXm3J8G5y3KHQ==" saltValue="yMDGzRWnJd/hAn39MAJJKg==" spinCount="100000" sheet="1" objects="1" scenarios="1"/>
  <mergeCells count="4">
    <mergeCell ref="A1:W1"/>
    <mergeCell ref="A2:W2"/>
    <mergeCell ref="H57:N57"/>
    <mergeCell ref="A3:W3"/>
  </mergeCells>
  <conditionalFormatting sqref="D16:W53">
    <cfRule type="containsErrors" dxfId="30" priority="60">
      <formula>ISERROR(D16)</formula>
    </cfRule>
  </conditionalFormatting>
  <conditionalFormatting sqref="H48">
    <cfRule type="expression" dxfId="29" priority="49">
      <formula>$I$48=0</formula>
    </cfRule>
  </conditionalFormatting>
  <conditionalFormatting sqref="D48">
    <cfRule type="cellIs" dxfId="28" priority="48" operator="between">
      <formula>0</formula>
      <formula>0</formula>
    </cfRule>
  </conditionalFormatting>
  <conditionalFormatting sqref="N6">
    <cfRule type="cellIs" dxfId="27" priority="47" operator="between">
      <formula>0</formula>
      <formula>0</formula>
    </cfRule>
  </conditionalFormatting>
  <conditionalFormatting sqref="H10:P10">
    <cfRule type="cellIs" dxfId="26" priority="46" operator="between">
      <formula>0</formula>
      <formula>0</formula>
    </cfRule>
  </conditionalFormatting>
  <conditionalFormatting sqref="L52">
    <cfRule type="containsText" dxfId="25" priority="45" operator="containsText" text="FALSCH">
      <formula>NOT(ISERROR(SEARCH("FALSCH",L52)))</formula>
    </cfRule>
  </conditionalFormatting>
  <conditionalFormatting sqref="N52">
    <cfRule type="containsText" dxfId="24" priority="44" operator="containsText" text="FALSCH">
      <formula>NOT(ISERROR(SEARCH("FALSCH",N52)))</formula>
    </cfRule>
  </conditionalFormatting>
  <conditionalFormatting sqref="P52">
    <cfRule type="containsText" dxfId="23" priority="43" operator="containsText" text="FALSCH">
      <formula>NOT(ISERROR(SEARCH("FALSCH",P52)))</formula>
    </cfRule>
  </conditionalFormatting>
  <conditionalFormatting sqref="D24:D36">
    <cfRule type="cellIs" dxfId="22" priority="42" operator="between">
      <formula>0</formula>
      <formula>0</formula>
    </cfRule>
  </conditionalFormatting>
  <conditionalFormatting sqref="D38:D46">
    <cfRule type="cellIs" dxfId="21" priority="41" operator="between">
      <formula>0</formula>
      <formula>0</formula>
    </cfRule>
  </conditionalFormatting>
  <conditionalFormatting sqref="Y54 Y56">
    <cfRule type="containsErrors" dxfId="20" priority="40">
      <formula>ISERROR(Y54)</formula>
    </cfRule>
  </conditionalFormatting>
  <conditionalFormatting sqref="I54:I56">
    <cfRule type="containsErrors" dxfId="19" priority="33">
      <formula>ISERROR(I54)</formula>
    </cfRule>
  </conditionalFormatting>
  <conditionalFormatting sqref="G54:G56">
    <cfRule type="containsErrors" dxfId="18" priority="39">
      <formula>ISERROR(G54)</formula>
    </cfRule>
  </conditionalFormatting>
  <conditionalFormatting sqref="K54:K56">
    <cfRule type="containsErrors" dxfId="17" priority="38">
      <formula>ISERROR(K54)</formula>
    </cfRule>
  </conditionalFormatting>
  <conditionalFormatting sqref="M54:M56">
    <cfRule type="containsErrors" dxfId="16" priority="37">
      <formula>ISERROR(M54)</formula>
    </cfRule>
  </conditionalFormatting>
  <conditionalFormatting sqref="O54:O56">
    <cfRule type="containsErrors" dxfId="15" priority="36">
      <formula>ISERROR(O54)</formula>
    </cfRule>
  </conditionalFormatting>
  <conditionalFormatting sqref="Q54:Q56">
    <cfRule type="containsErrors" dxfId="14" priority="35">
      <formula>ISERROR(Q54)</formula>
    </cfRule>
  </conditionalFormatting>
  <conditionalFormatting sqref="S54:S56">
    <cfRule type="containsErrors" dxfId="13" priority="34">
      <formula>ISERROR(S54)</formula>
    </cfRule>
  </conditionalFormatting>
  <conditionalFormatting sqref="Y55">
    <cfRule type="containsErrors" dxfId="12" priority="1">
      <formula>ISERROR(Y55)</formula>
    </cfRule>
  </conditionalFormatting>
  <hyperlinks>
    <hyperlink ref="H57" location="'Anlage 1'!A1" display="Anlage 1"/>
    <hyperlink ref="H57:N57" location="Bewohnervertretung!A1" display="gehe weiter zu Bewohnervertretung"/>
  </hyperlinks>
  <pageMargins left="0.70866141732283472" right="0.70866141732283472" top="0.78740157480314965" bottom="0.78740157480314965" header="0.31496062992125984" footer="0.31496062992125984"/>
  <pageSetup paperSize="9" scale="62" orientation="landscape"/>
  <headerFooter>
    <oddHeader>&amp;C&amp;9Seite 6</oddHeader>
    <oddFooter>&amp;L&amp;8Version: 15.01.2020&amp;C&amp;8Verhandlungsunterlagen SGB XI&amp;R&amp;8PSK-Beschluss Nr. 3/2019 vom 19.09.2019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9" id="{07C8E480-9846-495D-94E5-811CD282BFFC}">
            <xm:f>'Allgemeine Angaben'!$D$7="tst"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H57:P57 R50</xm:sqref>
        </x14:conditionalFormatting>
        <x14:conditionalFormatting xmlns:xm="http://schemas.microsoft.com/office/excel/2006/main">
          <x14:cfRule type="expression" priority="56" id="{0566DA16-5EBC-4792-A482-DB323D7D639D}">
            <xm:f>'Allgemeine Angaben'!$D$7="kzp"</xm:f>
            <x14:dxf>
              <font>
                <color theme="0"/>
              </font>
            </x14:dxf>
          </x14:cfRule>
          <xm:sqref>R50</xm:sqref>
        </x14:conditionalFormatting>
        <x14:conditionalFormatting xmlns:xm="http://schemas.microsoft.com/office/excel/2006/main">
          <x14:cfRule type="expression" priority="52" id="{074122E9-B25B-47E2-9727-2EAB10277E85}">
            <xm:f>'Allgemeine Angaben'!$D$7="kzp"</xm:f>
            <x14:dxf>
              <font>
                <color theme="0"/>
              </font>
              <fill>
                <patternFill>
                  <fgColor theme="0"/>
                  <bgColor theme="0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14:cfRule type="expression" priority="55" id="{B76BB2F1-06D1-44A0-8EA3-3294A0622347}">
            <xm:f>'Allgemeine Angaben'!$D$7="tst"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m:sqref>C12:P12 B49:P49 B50:R50</xm:sqref>
        </x14:conditionalFormatting>
        <x14:conditionalFormatting xmlns:xm="http://schemas.microsoft.com/office/excel/2006/main">
          <x14:cfRule type="expression" priority="10" id="{17A60CE8-74DF-42F0-A6AA-A3A7CFB5AAD0}">
            <xm:f>'Allgemeine Angaben'!$L$45&gt;0</xm:f>
            <x14:dxf>
              <font>
                <b/>
                <i val="0"/>
                <color auto="1"/>
              </font>
              <fill>
                <patternFill>
                  <bgColor theme="0" tint="-4.9989318521683403E-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N54</xm:sqref>
        </x14:conditionalFormatting>
        <x14:conditionalFormatting xmlns:xm="http://schemas.microsoft.com/office/excel/2006/main">
          <x14:cfRule type="expression" priority="9" id="{740B77BE-7129-4761-ADE8-D1AFE7D12FC4}">
            <xm:f>'Allgemeine Angaben'!$L$45&gt;0</xm:f>
            <x14:dxf>
              <font>
                <b/>
                <i val="0"/>
                <color auto="1"/>
              </font>
              <fill>
                <patternFill>
                  <bgColor theme="0" tint="-4.9989318521683403E-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P54</xm:sqref>
        </x14:conditionalFormatting>
        <x14:conditionalFormatting xmlns:xm="http://schemas.microsoft.com/office/excel/2006/main">
          <x14:cfRule type="expression" priority="8" id="{30F6EB2A-7C14-4981-B0F8-BC6A1F2D2F71}">
            <xm:f>'Allgemeine Angaben'!$L$45&gt;0</xm:f>
            <x14:dxf>
              <font>
                <b/>
                <i val="0"/>
                <color auto="1"/>
              </font>
              <fill>
                <patternFill>
                  <bgColor theme="0" tint="-4.9989318521683403E-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R54</xm:sqref>
        </x14:conditionalFormatting>
        <x14:conditionalFormatting xmlns:xm="http://schemas.microsoft.com/office/excel/2006/main">
          <x14:cfRule type="expression" priority="7" id="{D95CADF1-7908-4F25-A6C6-114B81B4FEC0}">
            <xm:f>'Allgemeine Angaben'!$L$45&gt;0</xm:f>
            <x14:dxf>
              <font>
                <b/>
                <i val="0"/>
                <color auto="1"/>
              </font>
              <fill>
                <patternFill>
                  <bgColor theme="0" tint="-4.9989318521683403E-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T54</xm:sqref>
        </x14:conditionalFormatting>
        <x14:conditionalFormatting xmlns:xm="http://schemas.microsoft.com/office/excel/2006/main">
          <x14:cfRule type="expression" priority="6" id="{3A214EB9-4696-48AF-9F62-C67D35E58EAF}">
            <xm:f>'Allgemeine Angaben'!$L$45&gt;0</xm:f>
            <x14:dxf>
              <font>
                <b/>
                <i val="0"/>
                <color auto="1"/>
              </font>
              <fill>
                <patternFill>
                  <bgColor theme="0" tint="-4.9989318521683403E-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V54</xm:sqref>
        </x14:conditionalFormatting>
        <x14:conditionalFormatting xmlns:xm="http://schemas.microsoft.com/office/excel/2006/main">
          <x14:cfRule type="expression" priority="5" id="{9331D945-CFC1-4957-A25C-808E88B3E5B7}">
            <xm:f>'Allgemeine Angaben'!$L$45&gt;0</xm:f>
            <x14:dxf>
              <font>
                <b/>
                <i val="0"/>
                <color auto="1"/>
              </font>
              <fill>
                <patternFill>
                  <fgColor auto="1"/>
                  <bgColor theme="0" tint="-4.9989318521683403E-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L54</xm:sqref>
        </x14:conditionalFormatting>
        <x14:conditionalFormatting xmlns:xm="http://schemas.microsoft.com/office/excel/2006/main">
          <x14:cfRule type="expression" priority="3" id="{BA52BD0A-4FDD-4579-858B-44C3A2B68CC7}">
            <xm:f>'Allgemeine Angaben'!$L$45&gt;0</xm:f>
            <x14:dxf>
              <font>
                <b/>
                <i val="0"/>
                <color auto="1"/>
              </font>
              <fill>
                <patternFill>
                  <fgColor auto="1"/>
                  <bgColor theme="0" tint="-4.9989318521683403E-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H54</xm:sqref>
        </x14:conditionalFormatting>
        <x14:conditionalFormatting xmlns:xm="http://schemas.microsoft.com/office/excel/2006/main">
          <x14:cfRule type="expression" priority="2" id="{233FCF2A-E80E-4840-96BA-A419F5030BC6}">
            <xm:f>'Allgemeine Angaben'!$L$45&gt;0</xm:f>
            <x14:dxf>
              <font>
                <b/>
                <i val="0"/>
                <color auto="1"/>
              </font>
              <fill>
                <patternFill>
                  <fgColor auto="1"/>
                  <bgColor theme="0" tint="-4.9989318521683403E-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J54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V64"/>
  <sheetViews>
    <sheetView showGridLines="0" workbookViewId="0">
      <pane ySplit="4" topLeftCell="A5" activePane="bottomLeft" state="frozen"/>
      <selection pane="bottomLeft" activeCell="H6" sqref="H6"/>
    </sheetView>
  </sheetViews>
  <sheetFormatPr baseColWidth="10" defaultRowHeight="14.25"/>
  <cols>
    <col min="1" max="2" width="3.625" style="337" customWidth="1"/>
    <col min="3" max="3" width="3.25" style="337" customWidth="1"/>
    <col min="4" max="4" width="3.125" style="337" customWidth="1"/>
    <col min="5" max="5" width="3.5" style="337" customWidth="1"/>
    <col min="6" max="6" width="11" style="337"/>
    <col min="7" max="7" width="3.125" style="337" customWidth="1"/>
    <col min="8" max="8" width="3.5" style="337" customWidth="1"/>
    <col min="9" max="9" width="11" style="337"/>
    <col min="10" max="10" width="11.875" style="337" customWidth="1"/>
    <col min="11" max="11" width="3.125" style="337" customWidth="1"/>
    <col min="12" max="12" width="17.75" style="337" customWidth="1"/>
    <col min="13" max="13" width="18.875" style="337" customWidth="1"/>
    <col min="14" max="14" width="4" style="337" customWidth="1"/>
    <col min="17" max="22" width="0" style="790" hidden="1" customWidth="1"/>
  </cols>
  <sheetData>
    <row r="1" spans="1:22" ht="15.75">
      <c r="A1" s="1500" t="s">
        <v>184</v>
      </c>
      <c r="B1" s="1501"/>
      <c r="C1" s="1501"/>
      <c r="D1" s="1501"/>
      <c r="E1" s="1501"/>
      <c r="F1" s="1501"/>
      <c r="G1" s="1501"/>
      <c r="H1" s="1501"/>
      <c r="I1" s="1501"/>
      <c r="J1" s="1501"/>
      <c r="K1" s="1501"/>
      <c r="L1" s="1501"/>
      <c r="M1" s="1501"/>
      <c r="N1" s="1502"/>
      <c r="O1" s="605"/>
      <c r="Q1" s="1049">
        <v>43620</v>
      </c>
    </row>
    <row r="2" spans="1:22" ht="15">
      <c r="A2" s="1503" t="s">
        <v>238</v>
      </c>
      <c r="B2" s="1504"/>
      <c r="C2" s="1504"/>
      <c r="D2" s="1504"/>
      <c r="E2" s="1504"/>
      <c r="F2" s="1504"/>
      <c r="G2" s="1504"/>
      <c r="H2" s="1504"/>
      <c r="I2" s="1504"/>
      <c r="J2" s="1504"/>
      <c r="K2" s="1504"/>
      <c r="L2" s="1504"/>
      <c r="M2" s="1504"/>
      <c r="N2" s="1505"/>
      <c r="O2" s="10"/>
    </row>
    <row r="3" spans="1:22" ht="15.75">
      <c r="A3" s="1506" t="str">
        <f>'Allgemeine Angaben'!A3:N3</f>
        <v/>
      </c>
      <c r="B3" s="1507"/>
      <c r="C3" s="1507"/>
      <c r="D3" s="1507"/>
      <c r="E3" s="1507"/>
      <c r="F3" s="1507"/>
      <c r="G3" s="1507"/>
      <c r="H3" s="1507"/>
      <c r="I3" s="1507"/>
      <c r="J3" s="1507"/>
      <c r="K3" s="1507"/>
      <c r="L3" s="1507"/>
      <c r="M3" s="1507"/>
      <c r="N3" s="1508"/>
    </row>
    <row r="4" spans="1:22" ht="15.75">
      <c r="A4" s="1065"/>
      <c r="B4" s="1067" t="str">
        <f>'Allgemeine Angaben'!B4</f>
        <v/>
      </c>
      <c r="C4" s="1066"/>
      <c r="D4" s="1066"/>
      <c r="E4" s="1066"/>
      <c r="F4" s="1066"/>
      <c r="G4" s="1066"/>
      <c r="H4" s="1066"/>
      <c r="I4" s="1066"/>
      <c r="J4" s="1066"/>
      <c r="K4" s="1066"/>
      <c r="L4" s="1069" t="str">
        <f>'Allgemeine Angaben'!K4</f>
        <v>Antrag vom:</v>
      </c>
      <c r="M4" s="1070">
        <f>'Allgemeine Angaben'!L4</f>
        <v>0</v>
      </c>
      <c r="N4" s="1068"/>
      <c r="O4" s="2"/>
      <c r="Q4" s="1061"/>
    </row>
    <row r="5" spans="1:22" ht="16.5" thickBot="1">
      <c r="A5" s="333"/>
      <c r="B5" s="334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6"/>
      <c r="O5" s="337"/>
      <c r="Q5" s="1060" t="s">
        <v>588</v>
      </c>
    </row>
    <row r="6" spans="1:22" s="514" customFormat="1" ht="16.5" thickBot="1">
      <c r="A6" s="498"/>
      <c r="B6" s="1509" t="s">
        <v>185</v>
      </c>
      <c r="C6" s="1509"/>
      <c r="D6" s="1509"/>
      <c r="E6" s="1509"/>
      <c r="F6" s="1509"/>
      <c r="G6" s="1510"/>
      <c r="H6" s="499"/>
      <c r="I6" s="500"/>
      <c r="J6" s="334"/>
      <c r="K6" s="499"/>
      <c r="L6" s="1511" t="s">
        <v>186</v>
      </c>
      <c r="M6" s="1509"/>
      <c r="N6" s="501"/>
      <c r="Q6" s="1062"/>
      <c r="R6" s="1063"/>
      <c r="S6" s="1063"/>
      <c r="T6" s="1063"/>
      <c r="U6" s="1063"/>
      <c r="V6" s="1063"/>
    </row>
    <row r="7" spans="1:22" ht="14.25" customHeight="1">
      <c r="A7" s="333"/>
      <c r="B7" s="335"/>
      <c r="C7" s="335"/>
      <c r="D7" s="335"/>
      <c r="E7" s="335"/>
      <c r="F7" s="335"/>
      <c r="G7" s="335"/>
      <c r="H7" s="335"/>
      <c r="I7" s="335"/>
      <c r="J7" s="335"/>
      <c r="K7" s="335"/>
      <c r="L7" s="335"/>
      <c r="M7" s="335"/>
      <c r="N7" s="336"/>
      <c r="O7" s="337"/>
    </row>
    <row r="8" spans="1:22" ht="27" customHeight="1">
      <c r="A8" s="333"/>
      <c r="B8" s="1494" t="s">
        <v>279</v>
      </c>
      <c r="C8" s="1494"/>
      <c r="D8" s="1494"/>
      <c r="E8" s="1494"/>
      <c r="F8" s="1494"/>
      <c r="G8" s="1494"/>
      <c r="H8" s="1494"/>
      <c r="I8" s="1494"/>
      <c r="J8" s="1494"/>
      <c r="K8" s="1494"/>
      <c r="L8" s="1494"/>
      <c r="M8" s="1494"/>
      <c r="N8" s="336"/>
      <c r="O8" s="337"/>
    </row>
    <row r="9" spans="1:22" ht="15.75">
      <c r="A9" s="333"/>
      <c r="B9" s="338"/>
      <c r="C9" s="335"/>
      <c r="D9" s="335"/>
      <c r="E9" s="335"/>
      <c r="F9" s="335"/>
      <c r="G9" s="335"/>
      <c r="H9" s="335"/>
      <c r="I9" s="335"/>
      <c r="J9" s="335"/>
      <c r="K9" s="335"/>
      <c r="L9" s="335"/>
      <c r="M9" s="335"/>
      <c r="N9" s="336"/>
      <c r="O9" s="337"/>
      <c r="Q9" s="1064"/>
    </row>
    <row r="10" spans="1:22" s="514" customFormat="1" ht="15">
      <c r="A10" s="502"/>
      <c r="B10" s="503" t="s">
        <v>187</v>
      </c>
      <c r="C10" s="503" t="s">
        <v>188</v>
      </c>
      <c r="D10" s="503"/>
      <c r="E10" s="503"/>
      <c r="F10" s="503"/>
      <c r="G10" s="503"/>
      <c r="H10" s="500"/>
      <c r="I10" s="503"/>
      <c r="J10" s="503"/>
      <c r="K10" s="500"/>
      <c r="L10" s="500"/>
      <c r="M10" s="500"/>
      <c r="N10" s="504"/>
      <c r="Q10" s="1063"/>
      <c r="R10" s="1063"/>
      <c r="S10" s="1063"/>
      <c r="T10" s="1063"/>
      <c r="U10" s="1063"/>
      <c r="V10" s="1063"/>
    </row>
    <row r="11" spans="1:22" ht="12.75" customHeight="1" thickBot="1">
      <c r="A11" s="333"/>
      <c r="B11" s="338"/>
      <c r="C11" s="335"/>
      <c r="D11" s="335"/>
      <c r="E11" s="335"/>
      <c r="F11" s="335"/>
      <c r="G11" s="335"/>
      <c r="H11" s="335"/>
      <c r="I11" s="335"/>
      <c r="J11" s="335"/>
      <c r="K11" s="335"/>
      <c r="L11" s="335"/>
      <c r="M11" s="335"/>
      <c r="N11" s="336"/>
      <c r="O11" s="337"/>
    </row>
    <row r="12" spans="1:22" ht="16.5" thickBot="1">
      <c r="A12" s="333"/>
      <c r="B12" s="335"/>
      <c r="C12" s="335"/>
      <c r="D12" s="505"/>
      <c r="E12" s="335"/>
      <c r="F12" s="334" t="s">
        <v>189</v>
      </c>
      <c r="G12" s="339"/>
      <c r="H12" s="339"/>
      <c r="I12" s="339"/>
      <c r="J12" s="335"/>
      <c r="K12" s="335"/>
      <c r="L12" s="335"/>
      <c r="M12" s="335"/>
      <c r="N12" s="336"/>
      <c r="O12" s="337"/>
    </row>
    <row r="13" spans="1:22" ht="15">
      <c r="A13" s="333"/>
      <c r="B13" s="335"/>
      <c r="C13" s="335"/>
      <c r="D13" s="335"/>
      <c r="E13" s="335"/>
      <c r="F13" s="503" t="s">
        <v>190</v>
      </c>
      <c r="G13" s="340"/>
      <c r="H13" s="340"/>
      <c r="I13" s="340"/>
      <c r="J13" s="340"/>
      <c r="K13" s="340"/>
      <c r="L13" s="335"/>
      <c r="M13" s="335"/>
      <c r="N13" s="336"/>
      <c r="O13" s="337"/>
    </row>
    <row r="14" spans="1:22" ht="12.75" customHeight="1" thickBot="1">
      <c r="A14" s="333"/>
      <c r="B14" s="335"/>
      <c r="C14" s="335"/>
      <c r="D14" s="335"/>
      <c r="E14" s="335"/>
      <c r="F14" s="340"/>
      <c r="G14" s="340"/>
      <c r="H14" s="340"/>
      <c r="I14" s="340"/>
      <c r="J14" s="340"/>
      <c r="K14" s="340"/>
      <c r="L14" s="335"/>
      <c r="M14" s="335"/>
      <c r="N14" s="336"/>
      <c r="O14" s="337"/>
    </row>
    <row r="15" spans="1:22" ht="16.5" thickBot="1">
      <c r="A15" s="333"/>
      <c r="B15" s="335"/>
      <c r="C15" s="335"/>
      <c r="D15" s="505"/>
      <c r="E15" s="335"/>
      <c r="F15" s="334" t="s">
        <v>191</v>
      </c>
      <c r="G15" s="339"/>
      <c r="H15" s="339"/>
      <c r="I15" s="339"/>
      <c r="J15" s="335"/>
      <c r="K15" s="335"/>
      <c r="L15" s="335"/>
      <c r="M15" s="335"/>
      <c r="N15" s="336"/>
      <c r="O15" s="337"/>
    </row>
    <row r="16" spans="1:22" ht="15">
      <c r="A16" s="333"/>
      <c r="B16" s="335"/>
      <c r="C16" s="335"/>
      <c r="D16" s="335"/>
      <c r="E16" s="335"/>
      <c r="F16" s="503" t="s">
        <v>192</v>
      </c>
      <c r="G16" s="335"/>
      <c r="H16" s="335"/>
      <c r="I16" s="335"/>
      <c r="J16" s="335"/>
      <c r="K16" s="335"/>
      <c r="L16" s="335"/>
      <c r="M16" s="335"/>
      <c r="N16" s="336"/>
      <c r="O16" s="337"/>
    </row>
    <row r="17" spans="1:22">
      <c r="A17" s="333"/>
      <c r="B17" s="335"/>
      <c r="C17" s="335"/>
      <c r="D17" s="335"/>
      <c r="E17" s="335"/>
      <c r="F17" s="340"/>
      <c r="G17" s="335"/>
      <c r="H17" s="335"/>
      <c r="I17" s="335"/>
      <c r="J17" s="335"/>
      <c r="K17" s="335"/>
      <c r="L17" s="335"/>
      <c r="M17" s="335"/>
      <c r="N17" s="336"/>
      <c r="O17" s="337"/>
    </row>
    <row r="18" spans="1:22" s="514" customFormat="1" ht="15">
      <c r="A18" s="502"/>
      <c r="B18" s="503" t="s">
        <v>193</v>
      </c>
      <c r="C18" s="503" t="s">
        <v>194</v>
      </c>
      <c r="D18" s="503"/>
      <c r="E18" s="503"/>
      <c r="F18" s="503"/>
      <c r="G18" s="503"/>
      <c r="H18" s="503"/>
      <c r="I18" s="503"/>
      <c r="J18" s="503"/>
      <c r="K18" s="500"/>
      <c r="L18" s="503"/>
      <c r="M18" s="503"/>
      <c r="N18" s="506"/>
      <c r="Q18" s="1063"/>
      <c r="R18" s="1063"/>
      <c r="S18" s="1063"/>
      <c r="T18" s="1063"/>
      <c r="U18" s="1063"/>
      <c r="V18" s="1063"/>
    </row>
    <row r="19" spans="1:22" ht="12.75" customHeight="1" thickBot="1">
      <c r="A19" s="333"/>
      <c r="B19" s="335"/>
      <c r="C19" s="339"/>
      <c r="D19" s="339"/>
      <c r="E19" s="339"/>
      <c r="F19" s="339"/>
      <c r="G19" s="339"/>
      <c r="H19" s="339"/>
      <c r="I19" s="339"/>
      <c r="J19" s="339"/>
      <c r="K19" s="339"/>
      <c r="L19" s="339"/>
      <c r="M19" s="339"/>
      <c r="N19" s="341"/>
      <c r="O19" s="337"/>
    </row>
    <row r="20" spans="1:22" ht="15" thickBot="1">
      <c r="A20" s="333"/>
      <c r="B20" s="335"/>
      <c r="C20" s="339"/>
      <c r="D20" s="507"/>
      <c r="E20" s="24"/>
      <c r="F20" s="1495" t="s">
        <v>195</v>
      </c>
      <c r="G20" s="1495"/>
      <c r="H20" s="1495"/>
      <c r="I20" s="1495"/>
      <c r="J20" s="1495"/>
      <c r="K20" s="1495"/>
      <c r="L20" s="1495"/>
      <c r="M20" s="492"/>
      <c r="N20" s="379"/>
      <c r="O20" s="337"/>
    </row>
    <row r="21" spans="1:22">
      <c r="A21" s="333"/>
      <c r="B21" s="335"/>
      <c r="C21" s="339"/>
      <c r="D21" s="24"/>
      <c r="E21" s="24"/>
      <c r="F21" s="508" t="s">
        <v>280</v>
      </c>
      <c r="G21" s="508"/>
      <c r="H21" s="508"/>
      <c r="I21" s="508"/>
      <c r="J21" s="508"/>
      <c r="K21" s="508"/>
      <c r="L21" s="508"/>
      <c r="M21" s="492"/>
      <c r="N21" s="379"/>
      <c r="O21" s="626"/>
    </row>
    <row r="22" spans="1:22">
      <c r="A22" s="333"/>
      <c r="B22" s="335"/>
      <c r="C22" s="339"/>
      <c r="D22" s="24"/>
      <c r="E22" s="24"/>
      <c r="F22" s="1495"/>
      <c r="G22" s="1495"/>
      <c r="H22" s="1495"/>
      <c r="I22" s="1495"/>
      <c r="J22" s="1495"/>
      <c r="K22" s="1495"/>
      <c r="L22" s="1495"/>
      <c r="M22" s="492"/>
      <c r="N22" s="379"/>
      <c r="O22" s="337"/>
    </row>
    <row r="23" spans="1:22" ht="12.75" customHeight="1" thickBot="1">
      <c r="A23" s="333"/>
      <c r="B23" s="335"/>
      <c r="C23" s="339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343"/>
      <c r="O23" s="337"/>
    </row>
    <row r="24" spans="1:22" ht="15" thickBot="1">
      <c r="A24" s="333"/>
      <c r="B24" s="335"/>
      <c r="C24" s="339"/>
      <c r="D24" s="507"/>
      <c r="E24" s="24"/>
      <c r="F24" s="1496" t="s">
        <v>196</v>
      </c>
      <c r="G24" s="1496"/>
      <c r="H24" s="1496"/>
      <c r="I24" s="1496"/>
      <c r="J24" s="1496"/>
      <c r="K24" s="1496"/>
      <c r="L24" s="1496"/>
      <c r="M24" s="493"/>
      <c r="N24" s="380"/>
      <c r="O24" s="342"/>
    </row>
    <row r="25" spans="1:22">
      <c r="A25" s="333"/>
      <c r="B25" s="335"/>
      <c r="C25" s="339"/>
      <c r="D25" s="24"/>
      <c r="E25" s="24"/>
      <c r="F25" s="509" t="s">
        <v>281</v>
      </c>
      <c r="G25" s="509"/>
      <c r="H25" s="509"/>
      <c r="I25" s="509"/>
      <c r="J25" s="509"/>
      <c r="K25" s="509"/>
      <c r="L25" s="509"/>
      <c r="M25" s="493"/>
      <c r="N25" s="380"/>
      <c r="O25" s="337"/>
    </row>
    <row r="26" spans="1:22">
      <c r="A26" s="333"/>
      <c r="B26" s="335"/>
      <c r="C26" s="339"/>
      <c r="D26" s="24"/>
      <c r="E26" s="24"/>
      <c r="F26" s="1496"/>
      <c r="G26" s="1496"/>
      <c r="H26" s="1496"/>
      <c r="I26" s="1496"/>
      <c r="J26" s="1496"/>
      <c r="K26" s="1496"/>
      <c r="L26" s="1496"/>
      <c r="M26" s="493"/>
      <c r="N26" s="380"/>
      <c r="O26" s="337"/>
    </row>
    <row r="27" spans="1:22" ht="14.85" customHeight="1">
      <c r="A27" s="344"/>
      <c r="B27" s="345"/>
      <c r="C27" s="346"/>
      <c r="D27" s="347"/>
      <c r="E27" s="347"/>
      <c r="F27" s="347"/>
      <c r="G27" s="347"/>
      <c r="H27" s="347"/>
      <c r="I27" s="347"/>
      <c r="J27" s="347"/>
      <c r="K27" s="347"/>
      <c r="L27" s="347"/>
      <c r="M27" s="347"/>
      <c r="N27" s="348"/>
      <c r="O27" s="337"/>
    </row>
    <row r="28" spans="1:22" ht="14.85" customHeight="1">
      <c r="A28" s="333"/>
      <c r="B28" s="335"/>
      <c r="C28" s="339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343"/>
      <c r="O28" s="337"/>
    </row>
    <row r="29" spans="1:22" s="514" customFormat="1" ht="15">
      <c r="A29" s="502"/>
      <c r="B29" s="503" t="s">
        <v>197</v>
      </c>
      <c r="C29" s="503" t="s">
        <v>198</v>
      </c>
      <c r="D29" s="503"/>
      <c r="E29" s="503"/>
      <c r="F29" s="503"/>
      <c r="G29" s="503"/>
      <c r="H29" s="503"/>
      <c r="I29" s="503"/>
      <c r="J29" s="503"/>
      <c r="K29" s="500"/>
      <c r="L29" s="503"/>
      <c r="M29" s="503"/>
      <c r="N29" s="506"/>
      <c r="Q29" s="1063"/>
      <c r="R29" s="1063"/>
      <c r="S29" s="1063"/>
      <c r="T29" s="1063"/>
      <c r="U29" s="1063"/>
      <c r="V29" s="1063"/>
    </row>
    <row r="30" spans="1:22" ht="12.75" customHeight="1">
      <c r="A30" s="333"/>
      <c r="B30" s="335"/>
      <c r="C30" s="339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343"/>
      <c r="O30" s="337"/>
    </row>
    <row r="31" spans="1:22">
      <c r="A31" s="333"/>
      <c r="B31" s="510" t="s">
        <v>233</v>
      </c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336"/>
      <c r="O31" s="337"/>
    </row>
    <row r="32" spans="1:22">
      <c r="A32" s="333"/>
      <c r="B32" s="339" t="s">
        <v>234</v>
      </c>
      <c r="C32" s="335"/>
      <c r="D32" s="335"/>
      <c r="E32" s="335"/>
      <c r="F32" s="335"/>
      <c r="G32" s="335"/>
      <c r="H32" s="335"/>
      <c r="I32" s="335"/>
      <c r="J32" s="335"/>
      <c r="K32" s="335"/>
      <c r="L32" s="335"/>
      <c r="M32" s="335"/>
      <c r="N32" s="336"/>
      <c r="O32" s="337"/>
    </row>
    <row r="33" spans="1:15">
      <c r="A33" s="333"/>
      <c r="B33" s="339" t="s">
        <v>235</v>
      </c>
      <c r="C33" s="335"/>
      <c r="D33" s="335"/>
      <c r="E33" s="335"/>
      <c r="F33" s="335"/>
      <c r="G33" s="335"/>
      <c r="H33" s="335"/>
      <c r="I33" s="335"/>
      <c r="J33" s="335"/>
      <c r="K33" s="335"/>
      <c r="L33" s="335"/>
      <c r="M33" s="335"/>
      <c r="N33" s="336"/>
      <c r="O33" s="337"/>
    </row>
    <row r="34" spans="1:15">
      <c r="A34" s="333"/>
      <c r="B34" s="339" t="s">
        <v>236</v>
      </c>
      <c r="C34" s="335"/>
      <c r="D34" s="335"/>
      <c r="E34" s="335"/>
      <c r="F34" s="335"/>
      <c r="G34" s="335"/>
      <c r="H34" s="335"/>
      <c r="I34" s="335"/>
      <c r="J34" s="335"/>
      <c r="K34" s="335"/>
      <c r="L34" s="335"/>
      <c r="M34" s="335"/>
      <c r="N34" s="336"/>
      <c r="O34" s="337"/>
    </row>
    <row r="35" spans="1:15">
      <c r="A35" s="333"/>
      <c r="B35" s="339" t="s">
        <v>237</v>
      </c>
      <c r="C35" s="335"/>
      <c r="D35" s="335"/>
      <c r="E35" s="335"/>
      <c r="F35" s="335"/>
      <c r="G35" s="335"/>
      <c r="H35" s="335"/>
      <c r="I35" s="335"/>
      <c r="J35" s="335"/>
      <c r="K35" s="335"/>
      <c r="L35" s="335"/>
      <c r="M35" s="335"/>
      <c r="N35" s="336"/>
      <c r="O35" s="337"/>
    </row>
    <row r="36" spans="1:15">
      <c r="A36" s="333"/>
      <c r="B36" s="510"/>
      <c r="C36" s="335"/>
      <c r="D36" s="335"/>
      <c r="E36" s="335"/>
      <c r="F36" s="335"/>
      <c r="G36" s="335"/>
      <c r="H36" s="335"/>
      <c r="I36" s="335"/>
      <c r="J36" s="335"/>
      <c r="K36" s="335"/>
      <c r="L36" s="335"/>
      <c r="M36" s="335"/>
      <c r="N36" s="336"/>
      <c r="O36" s="337"/>
    </row>
    <row r="37" spans="1:15">
      <c r="A37" s="333"/>
      <c r="B37" s="339" t="s">
        <v>199</v>
      </c>
      <c r="C37" s="339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6"/>
      <c r="O37" s="337"/>
    </row>
    <row r="38" spans="1:15">
      <c r="A38" s="333"/>
      <c r="B38" s="1497"/>
      <c r="C38" s="1498"/>
      <c r="D38" s="1498"/>
      <c r="E38" s="1498"/>
      <c r="F38" s="1498"/>
      <c r="G38" s="1498"/>
      <c r="H38" s="1498"/>
      <c r="I38" s="1498"/>
      <c r="J38" s="1498"/>
      <c r="K38" s="1498"/>
      <c r="L38" s="1498"/>
      <c r="M38" s="1498"/>
      <c r="N38" s="336"/>
      <c r="O38" s="2"/>
    </row>
    <row r="39" spans="1:15">
      <c r="A39" s="333"/>
      <c r="B39" s="1498"/>
      <c r="C39" s="1498"/>
      <c r="D39" s="1498"/>
      <c r="E39" s="1498"/>
      <c r="F39" s="1498"/>
      <c r="G39" s="1498"/>
      <c r="H39" s="1498"/>
      <c r="I39" s="1498"/>
      <c r="J39" s="1498"/>
      <c r="K39" s="1498"/>
      <c r="L39" s="1498"/>
      <c r="M39" s="1498"/>
      <c r="N39" s="336"/>
      <c r="O39" s="337"/>
    </row>
    <row r="40" spans="1:15">
      <c r="A40" s="333"/>
      <c r="B40" s="1498"/>
      <c r="C40" s="1498"/>
      <c r="D40" s="1498"/>
      <c r="E40" s="1498"/>
      <c r="F40" s="1498"/>
      <c r="G40" s="1498"/>
      <c r="H40" s="1498"/>
      <c r="I40" s="1498"/>
      <c r="J40" s="1498"/>
      <c r="K40" s="1498"/>
      <c r="L40" s="1498"/>
      <c r="M40" s="1498"/>
      <c r="N40" s="336"/>
      <c r="O40" s="337"/>
    </row>
    <row r="41" spans="1:15">
      <c r="A41" s="333"/>
      <c r="B41" s="1498"/>
      <c r="C41" s="1498"/>
      <c r="D41" s="1498"/>
      <c r="E41" s="1498"/>
      <c r="F41" s="1498"/>
      <c r="G41" s="1498"/>
      <c r="H41" s="1498"/>
      <c r="I41" s="1498"/>
      <c r="J41" s="1498"/>
      <c r="K41" s="1498"/>
      <c r="L41" s="1498"/>
      <c r="M41" s="1498"/>
      <c r="N41" s="336"/>
      <c r="O41" s="337"/>
    </row>
    <row r="42" spans="1:15">
      <c r="A42" s="333"/>
      <c r="B42" s="1498"/>
      <c r="C42" s="1498"/>
      <c r="D42" s="1498"/>
      <c r="E42" s="1498"/>
      <c r="F42" s="1498"/>
      <c r="G42" s="1498"/>
      <c r="H42" s="1498"/>
      <c r="I42" s="1498"/>
      <c r="J42" s="1498"/>
      <c r="K42" s="1498"/>
      <c r="L42" s="1498"/>
      <c r="M42" s="1498"/>
      <c r="N42" s="336"/>
      <c r="O42" s="337"/>
    </row>
    <row r="43" spans="1:15">
      <c r="A43" s="333"/>
      <c r="B43" s="1498"/>
      <c r="C43" s="1498"/>
      <c r="D43" s="1498"/>
      <c r="E43" s="1498"/>
      <c r="F43" s="1498"/>
      <c r="G43" s="1498"/>
      <c r="H43" s="1498"/>
      <c r="I43" s="1498"/>
      <c r="J43" s="1498"/>
      <c r="K43" s="1498"/>
      <c r="L43" s="1498"/>
      <c r="M43" s="1498"/>
      <c r="N43" s="336"/>
      <c r="O43" s="337"/>
    </row>
    <row r="44" spans="1:15">
      <c r="A44" s="333"/>
      <c r="B44" s="1498"/>
      <c r="C44" s="1498"/>
      <c r="D44" s="1498"/>
      <c r="E44" s="1498"/>
      <c r="F44" s="1498"/>
      <c r="G44" s="1498"/>
      <c r="H44" s="1498"/>
      <c r="I44" s="1498"/>
      <c r="J44" s="1498"/>
      <c r="K44" s="1498"/>
      <c r="L44" s="1498"/>
      <c r="M44" s="1498"/>
      <c r="N44" s="336"/>
      <c r="O44" s="337"/>
    </row>
    <row r="45" spans="1:15">
      <c r="A45" s="333"/>
      <c r="B45" s="1498"/>
      <c r="C45" s="1498"/>
      <c r="D45" s="1498"/>
      <c r="E45" s="1498"/>
      <c r="F45" s="1498"/>
      <c r="G45" s="1498"/>
      <c r="H45" s="1498"/>
      <c r="I45" s="1498"/>
      <c r="J45" s="1498"/>
      <c r="K45" s="1498"/>
      <c r="L45" s="1498"/>
      <c r="M45" s="1498"/>
      <c r="N45" s="336"/>
      <c r="O45" s="337"/>
    </row>
    <row r="46" spans="1:15">
      <c r="A46" s="333"/>
      <c r="B46" s="1498"/>
      <c r="C46" s="1498"/>
      <c r="D46" s="1498"/>
      <c r="E46" s="1498"/>
      <c r="F46" s="1498"/>
      <c r="G46" s="1498"/>
      <c r="H46" s="1498"/>
      <c r="I46" s="1498"/>
      <c r="J46" s="1498"/>
      <c r="K46" s="1498"/>
      <c r="L46" s="1498"/>
      <c r="M46" s="1498"/>
      <c r="N46" s="336"/>
      <c r="O46" s="337"/>
    </row>
    <row r="47" spans="1:15">
      <c r="A47" s="333"/>
      <c r="B47" s="1498"/>
      <c r="C47" s="1498"/>
      <c r="D47" s="1498"/>
      <c r="E47" s="1498"/>
      <c r="F47" s="1498"/>
      <c r="G47" s="1498"/>
      <c r="H47" s="1498"/>
      <c r="I47" s="1498"/>
      <c r="J47" s="1498"/>
      <c r="K47" s="1498"/>
      <c r="L47" s="1498"/>
      <c r="M47" s="1498"/>
      <c r="N47" s="336"/>
      <c r="O47" s="337"/>
    </row>
    <row r="48" spans="1:15">
      <c r="A48" s="333"/>
      <c r="B48" s="1498"/>
      <c r="C48" s="1498"/>
      <c r="D48" s="1498"/>
      <c r="E48" s="1498"/>
      <c r="F48" s="1498"/>
      <c r="G48" s="1498"/>
      <c r="H48" s="1498"/>
      <c r="I48" s="1498"/>
      <c r="J48" s="1498"/>
      <c r="K48" s="1498"/>
      <c r="L48" s="1498"/>
      <c r="M48" s="1498"/>
      <c r="N48" s="336"/>
      <c r="O48" s="337"/>
    </row>
    <row r="49" spans="1:15">
      <c r="A49" s="333"/>
      <c r="B49" s="1498"/>
      <c r="C49" s="1498"/>
      <c r="D49" s="1498"/>
      <c r="E49" s="1498"/>
      <c r="F49" s="1498"/>
      <c r="G49" s="1498"/>
      <c r="H49" s="1498"/>
      <c r="I49" s="1498"/>
      <c r="J49" s="1498"/>
      <c r="K49" s="1498"/>
      <c r="L49" s="1498"/>
      <c r="M49" s="1498"/>
      <c r="N49" s="336"/>
      <c r="O49" s="337"/>
    </row>
    <row r="50" spans="1:15">
      <c r="A50" s="333"/>
      <c r="B50" s="1498"/>
      <c r="C50" s="1498"/>
      <c r="D50" s="1498"/>
      <c r="E50" s="1498"/>
      <c r="F50" s="1498"/>
      <c r="G50" s="1498"/>
      <c r="H50" s="1498"/>
      <c r="I50" s="1498"/>
      <c r="J50" s="1498"/>
      <c r="K50" s="1498"/>
      <c r="L50" s="1498"/>
      <c r="M50" s="1498"/>
      <c r="N50" s="336"/>
      <c r="O50" s="337"/>
    </row>
    <row r="51" spans="1:15">
      <c r="A51" s="333"/>
      <c r="B51" s="1498"/>
      <c r="C51" s="1498"/>
      <c r="D51" s="1498"/>
      <c r="E51" s="1498"/>
      <c r="F51" s="1498"/>
      <c r="G51" s="1498"/>
      <c r="H51" s="1498"/>
      <c r="I51" s="1498"/>
      <c r="J51" s="1498"/>
      <c r="K51" s="1498"/>
      <c r="L51" s="1498"/>
      <c r="M51" s="1498"/>
      <c r="N51" s="336"/>
      <c r="O51" s="337"/>
    </row>
    <row r="52" spans="1:15">
      <c r="A52" s="333"/>
      <c r="B52" s="1498"/>
      <c r="C52" s="1498"/>
      <c r="D52" s="1498"/>
      <c r="E52" s="1498"/>
      <c r="F52" s="1498"/>
      <c r="G52" s="1498"/>
      <c r="H52" s="1498"/>
      <c r="I52" s="1498"/>
      <c r="J52" s="1498"/>
      <c r="K52" s="1498"/>
      <c r="L52" s="1498"/>
      <c r="M52" s="1498"/>
      <c r="N52" s="336"/>
      <c r="O52" s="337"/>
    </row>
    <row r="53" spans="1:15">
      <c r="A53" s="333"/>
      <c r="B53" s="1498"/>
      <c r="C53" s="1498"/>
      <c r="D53" s="1498"/>
      <c r="E53" s="1498"/>
      <c r="F53" s="1498"/>
      <c r="G53" s="1498"/>
      <c r="H53" s="1498"/>
      <c r="I53" s="1498"/>
      <c r="J53" s="1498"/>
      <c r="K53" s="1498"/>
      <c r="L53" s="1498"/>
      <c r="M53" s="1498"/>
      <c r="N53" s="336"/>
      <c r="O53" s="337"/>
    </row>
    <row r="54" spans="1:15">
      <c r="A54" s="333"/>
      <c r="B54" s="1498"/>
      <c r="C54" s="1498"/>
      <c r="D54" s="1498"/>
      <c r="E54" s="1498"/>
      <c r="F54" s="1498"/>
      <c r="G54" s="1498"/>
      <c r="H54" s="1498"/>
      <c r="I54" s="1498"/>
      <c r="J54" s="1498"/>
      <c r="K54" s="1498"/>
      <c r="L54" s="1498"/>
      <c r="M54" s="1498"/>
      <c r="N54" s="336"/>
      <c r="O54" s="337"/>
    </row>
    <row r="55" spans="1:15">
      <c r="A55" s="333"/>
      <c r="B55" s="1498"/>
      <c r="C55" s="1498"/>
      <c r="D55" s="1498"/>
      <c r="E55" s="1498"/>
      <c r="F55" s="1498"/>
      <c r="G55" s="1498"/>
      <c r="H55" s="1498"/>
      <c r="I55" s="1498"/>
      <c r="J55" s="1498"/>
      <c r="K55" s="1498"/>
      <c r="L55" s="1498"/>
      <c r="M55" s="1498"/>
      <c r="N55" s="336"/>
      <c r="O55" s="337"/>
    </row>
    <row r="56" spans="1:15">
      <c r="A56" s="333"/>
      <c r="B56" s="1498"/>
      <c r="C56" s="1498"/>
      <c r="D56" s="1498"/>
      <c r="E56" s="1498"/>
      <c r="F56" s="1498"/>
      <c r="G56" s="1498"/>
      <c r="H56" s="1498"/>
      <c r="I56" s="1498"/>
      <c r="J56" s="1498"/>
      <c r="K56" s="1498"/>
      <c r="L56" s="1498"/>
      <c r="M56" s="1498"/>
      <c r="N56" s="336"/>
      <c r="O56" s="337"/>
    </row>
    <row r="57" spans="1:15">
      <c r="A57" s="333"/>
      <c r="B57" s="335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6"/>
      <c r="O57" s="337"/>
    </row>
    <row r="58" spans="1:15">
      <c r="A58" s="333"/>
      <c r="B58" s="335"/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6"/>
      <c r="O58" s="337"/>
    </row>
    <row r="59" spans="1:15">
      <c r="A59" s="333"/>
      <c r="B59" s="335"/>
      <c r="C59" s="335"/>
      <c r="D59" s="335"/>
      <c r="E59" s="335"/>
      <c r="F59" s="335"/>
      <c r="G59" s="335"/>
      <c r="H59" s="335"/>
      <c r="I59" s="335"/>
      <c r="J59" s="1499"/>
      <c r="K59" s="1499"/>
      <c r="L59" s="1499"/>
      <c r="M59" s="494"/>
      <c r="N59" s="336"/>
      <c r="O59" s="337"/>
    </row>
    <row r="60" spans="1:15">
      <c r="A60" s="333"/>
      <c r="B60" s="335"/>
      <c r="C60" s="335"/>
      <c r="D60" s="335"/>
      <c r="E60" s="335"/>
      <c r="F60" s="335"/>
      <c r="G60" s="335"/>
      <c r="H60" s="335"/>
      <c r="I60" s="349"/>
      <c r="J60" s="335"/>
      <c r="K60" s="335"/>
      <c r="L60" s="335"/>
      <c r="M60" s="335"/>
      <c r="N60" s="336"/>
      <c r="O60" s="337"/>
    </row>
    <row r="61" spans="1:15">
      <c r="A61" s="333"/>
      <c r="B61" s="335"/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336"/>
      <c r="O61" s="337"/>
    </row>
    <row r="62" spans="1:15">
      <c r="A62" s="333"/>
      <c r="B62" s="1493"/>
      <c r="C62" s="1354"/>
      <c r="D62" s="1354"/>
      <c r="E62" s="1354"/>
      <c r="F62" s="1354"/>
      <c r="G62" s="1354"/>
      <c r="H62" s="1354"/>
      <c r="I62" s="1354"/>
      <c r="J62" s="511"/>
      <c r="K62" s="1493"/>
      <c r="L62" s="1354"/>
      <c r="M62" s="1354"/>
      <c r="N62" s="336"/>
      <c r="O62" s="337"/>
    </row>
    <row r="63" spans="1:15">
      <c r="A63" s="333"/>
      <c r="B63" s="339" t="s">
        <v>145</v>
      </c>
      <c r="C63" s="510"/>
      <c r="D63" s="510"/>
      <c r="E63" s="510"/>
      <c r="F63" s="510"/>
      <c r="G63" s="510"/>
      <c r="H63" s="510"/>
      <c r="I63" s="510"/>
      <c r="J63" s="510"/>
      <c r="K63" s="1491" t="s">
        <v>200</v>
      </c>
      <c r="L63" s="1491"/>
      <c r="M63" s="1491"/>
      <c r="N63" s="336"/>
      <c r="O63" s="337"/>
    </row>
    <row r="64" spans="1:15">
      <c r="A64" s="350"/>
      <c r="B64" s="512"/>
      <c r="C64" s="512"/>
      <c r="D64" s="512"/>
      <c r="E64" s="512"/>
      <c r="F64" s="512"/>
      <c r="G64" s="512"/>
      <c r="H64" s="512"/>
      <c r="I64" s="512"/>
      <c r="J64" s="513"/>
      <c r="K64" s="1492" t="s">
        <v>201</v>
      </c>
      <c r="L64" s="1492"/>
      <c r="M64" s="1492"/>
      <c r="N64" s="351"/>
      <c r="O64" s="337"/>
    </row>
  </sheetData>
  <sheetProtection algorithmName="SHA-512" hashValue="xPxkub7ykOlyOtCXkvgUtmvLgeKAXj/yNVjfTfwhnPfBtNx2Ha9zyvynF8GnTAnk1+vg4w+jlhkwuYyQW1Lr3w==" saltValue="7m+ca1bxr4qPMd9IfUEb2g==" spinCount="100000" sheet="1" objects="1" scenarios="1"/>
  <mergeCells count="16">
    <mergeCell ref="A1:N1"/>
    <mergeCell ref="A2:N2"/>
    <mergeCell ref="A3:N3"/>
    <mergeCell ref="B6:G6"/>
    <mergeCell ref="L6:M6"/>
    <mergeCell ref="K63:M63"/>
    <mergeCell ref="K64:M64"/>
    <mergeCell ref="K62:M62"/>
    <mergeCell ref="B62:I62"/>
    <mergeCell ref="B8:M8"/>
    <mergeCell ref="F20:L20"/>
    <mergeCell ref="F24:L24"/>
    <mergeCell ref="B38:M56"/>
    <mergeCell ref="J59:L59"/>
    <mergeCell ref="F22:L22"/>
    <mergeCell ref="F26:L26"/>
  </mergeCells>
  <pageMargins left="0.70866141732283472" right="0.70866141732283472" top="0.78740157480314965" bottom="0.78740157480314965" header="0.31496062992125984" footer="0.31496062992125984"/>
  <pageSetup paperSize="9" scale="79" orientation="portrait"/>
  <headerFooter>
    <oddHeader>&amp;C&amp;9Bewohnervertretung</oddHeader>
    <oddFooter>&amp;L&amp;8Version: 15.01.2020&amp;C&amp;8Verhandlungsunterlagen SGB XI&amp;R&amp;8PSK-Beschluss Nr. 3/2019 vom 19.09.2019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5" zoomScaleNormal="95" workbookViewId="0">
      <selection activeCell="H12" sqref="H12"/>
    </sheetView>
  </sheetViews>
  <sheetFormatPr baseColWidth="10" defaultRowHeight="14.25"/>
  <sheetData/>
  <sheetProtection algorithmName="SHA-512" hashValue="Sv5GRtC6y8fz2t1DlW6DA901wWE5IDss9dGN0P0H+rclSb9BRh5ujshDd8Ph5ti/NI6Yhvpfz/cB5BwBs7zVgQ==" saltValue="gessUjG48CZiE0SBQHwrCQ==" spinCount="100000" sheet="1" objects="1" scenarios="1"/>
  <pageMargins left="0.78740157480314965" right="0.70866141732283472" top="1.1811023622047245" bottom="0.78740157480314965" header="0.31496062992125984" footer="0.31496062992125984"/>
  <pageSetup paperSize="9" fitToHeight="6" orientation="portrait"/>
  <headerFooter>
    <oddHeader>&amp;C&amp;9Allgemeine Hinweise</oddHeader>
    <oddFooter>&amp;L&amp;8Version: 15.01.2020&amp;C&amp;8Verhandlungsunterlagen SGB XI&amp;R&amp;8PSK-Beschluss Nr. 3/2019 vom 19.09.2019</oddFooter>
  </headerFooter>
  <drawing r:id="rId1"/>
  <legacyDrawing r:id="rId2"/>
  <oleObjects>
    <mc:AlternateContent xmlns:mc="http://schemas.openxmlformats.org/markup-compatibility/2006">
      <mc:Choice Requires="x14">
        <oleObject progId="Acrobat Document" shapeId="28697" r:id="rId3">
          <objectPr defaultSize="0" r:id="rId4">
            <anchor moveWithCells="1">
              <from>
                <xdr:col>0</xdr:col>
                <xdr:colOff>28575</xdr:colOff>
                <xdr:row>0</xdr:row>
                <xdr:rowOff>19050</xdr:rowOff>
              </from>
              <to>
                <xdr:col>6</xdr:col>
                <xdr:colOff>666750</xdr:colOff>
                <xdr:row>44</xdr:row>
                <xdr:rowOff>76200</xdr:rowOff>
              </to>
            </anchor>
          </objectPr>
        </oleObject>
      </mc:Choice>
      <mc:Fallback>
        <oleObject progId="Acrobat Document" shapeId="28697" r:id="rId3"/>
      </mc:Fallback>
    </mc:AlternateContent>
    <mc:AlternateContent xmlns:mc="http://schemas.openxmlformats.org/markup-compatibility/2006">
      <mc:Choice Requires="x14">
        <oleObject progId="Acrobat Document" shapeId="28698" r:id="rId5">
          <objectPr defaultSize="0" r:id="rId6">
            <anchor moveWithCells="1">
              <from>
                <xdr:col>0</xdr:col>
                <xdr:colOff>28575</xdr:colOff>
                <xdr:row>51</xdr:row>
                <xdr:rowOff>171450</xdr:rowOff>
              </from>
              <to>
                <xdr:col>6</xdr:col>
                <xdr:colOff>666750</xdr:colOff>
                <xdr:row>96</xdr:row>
                <xdr:rowOff>47625</xdr:rowOff>
              </to>
            </anchor>
          </objectPr>
        </oleObject>
      </mc:Choice>
      <mc:Fallback>
        <oleObject progId="Acrobat Document" shapeId="28698" r:id="rId5"/>
      </mc:Fallback>
    </mc:AlternateContent>
    <mc:AlternateContent xmlns:mc="http://schemas.openxmlformats.org/markup-compatibility/2006">
      <mc:Choice Requires="x14">
        <oleObject progId="Acrobat Document" shapeId="28699" r:id="rId7">
          <objectPr defaultSize="0" r:id="rId8">
            <anchor moveWithCells="1">
              <from>
                <xdr:col>0</xdr:col>
                <xdr:colOff>19050</xdr:colOff>
                <xdr:row>103</xdr:row>
                <xdr:rowOff>28575</xdr:rowOff>
              </from>
              <to>
                <xdr:col>6</xdr:col>
                <xdr:colOff>657225</xdr:colOff>
                <xdr:row>147</xdr:row>
                <xdr:rowOff>85725</xdr:rowOff>
              </to>
            </anchor>
          </objectPr>
        </oleObject>
      </mc:Choice>
      <mc:Fallback>
        <oleObject progId="Acrobat Document" shapeId="28699" r:id="rId7"/>
      </mc:Fallback>
    </mc:AlternateContent>
    <mc:AlternateContent xmlns:mc="http://schemas.openxmlformats.org/markup-compatibility/2006">
      <mc:Choice Requires="x14">
        <oleObject progId="Acrobat Document" shapeId="28700" r:id="rId9">
          <objectPr defaultSize="0" r:id="rId10">
            <anchor moveWithCells="1">
              <from>
                <xdr:col>0</xdr:col>
                <xdr:colOff>28575</xdr:colOff>
                <xdr:row>154</xdr:row>
                <xdr:rowOff>38100</xdr:rowOff>
              </from>
              <to>
                <xdr:col>6</xdr:col>
                <xdr:colOff>666750</xdr:colOff>
                <xdr:row>198</xdr:row>
                <xdr:rowOff>95250</xdr:rowOff>
              </to>
            </anchor>
          </objectPr>
        </oleObject>
      </mc:Choice>
      <mc:Fallback>
        <oleObject progId="Acrobat Document" shapeId="28700" r:id="rId9"/>
      </mc:Fallback>
    </mc:AlternateContent>
    <mc:AlternateContent xmlns:mc="http://schemas.openxmlformats.org/markup-compatibility/2006">
      <mc:Choice Requires="x14">
        <oleObject progId="Acrobat Document" shapeId="28701" r:id="rId11">
          <objectPr defaultSize="0" r:id="rId12">
            <anchor moveWithCells="1">
              <from>
                <xdr:col>0</xdr:col>
                <xdr:colOff>19050</xdr:colOff>
                <xdr:row>205</xdr:row>
                <xdr:rowOff>76200</xdr:rowOff>
              </from>
              <to>
                <xdr:col>6</xdr:col>
                <xdr:colOff>657225</xdr:colOff>
                <xdr:row>249</xdr:row>
                <xdr:rowOff>133350</xdr:rowOff>
              </to>
            </anchor>
          </objectPr>
        </oleObject>
      </mc:Choice>
      <mc:Fallback>
        <oleObject progId="Acrobat Document" shapeId="28701" r:id="rId11"/>
      </mc:Fallback>
    </mc:AlternateContent>
    <mc:AlternateContent xmlns:mc="http://schemas.openxmlformats.org/markup-compatibility/2006">
      <mc:Choice Requires="x14">
        <oleObject progId="Acrobat Document" shapeId="28702" r:id="rId13">
          <objectPr defaultSize="0" r:id="rId14">
            <anchor moveWithCells="1">
              <from>
                <xdr:col>0</xdr:col>
                <xdr:colOff>19050</xdr:colOff>
                <xdr:row>255</xdr:row>
                <xdr:rowOff>161925</xdr:rowOff>
              </from>
              <to>
                <xdr:col>6</xdr:col>
                <xdr:colOff>657225</xdr:colOff>
                <xdr:row>300</xdr:row>
                <xdr:rowOff>38100</xdr:rowOff>
              </to>
            </anchor>
          </objectPr>
        </oleObject>
      </mc:Choice>
      <mc:Fallback>
        <oleObject progId="Acrobat Document" shapeId="28702" r:id="rId1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H84"/>
  <sheetViews>
    <sheetView showGridLines="0" zoomScaleNormal="100" workbookViewId="0">
      <pane ySplit="1" topLeftCell="A2" activePane="bottomLeft" state="frozen"/>
      <selection pane="bottomLeft" activeCell="I1" sqref="I1"/>
    </sheetView>
  </sheetViews>
  <sheetFormatPr baseColWidth="10" defaultColWidth="10" defaultRowHeight="15"/>
  <cols>
    <col min="1" max="1" width="18.5" style="1156" customWidth="1"/>
    <col min="2" max="2" width="46.25" style="1156" customWidth="1"/>
    <col min="3" max="3" width="66.75" style="1156" customWidth="1"/>
    <col min="4" max="8" width="10" style="993" hidden="1" customWidth="1"/>
    <col min="9" max="16384" width="10" style="515"/>
  </cols>
  <sheetData>
    <row r="1" spans="1:8" s="517" customFormat="1" ht="15.75" thickBot="1">
      <c r="A1" s="1512" t="s">
        <v>282</v>
      </c>
      <c r="B1" s="1513"/>
      <c r="C1" s="1514"/>
      <c r="D1" s="1169">
        <v>43678</v>
      </c>
      <c r="E1" s="991"/>
      <c r="F1" s="991"/>
      <c r="G1" s="991"/>
      <c r="H1" s="991"/>
    </row>
    <row r="2" spans="1:8" s="517" customFormat="1" ht="15.75">
      <c r="A2" s="1157"/>
      <c r="B2" s="1157"/>
      <c r="C2" s="1157"/>
      <c r="D2" s="1215" t="s">
        <v>813</v>
      </c>
      <c r="E2" s="991"/>
      <c r="F2" s="991"/>
      <c r="G2" s="991"/>
      <c r="H2" s="991"/>
    </row>
    <row r="3" spans="1:8" s="516" customFormat="1" ht="25.5" customHeight="1">
      <c r="A3" s="1515" t="s">
        <v>658</v>
      </c>
      <c r="B3" s="1515"/>
      <c r="C3" s="1515"/>
      <c r="D3" s="1170" t="s">
        <v>746</v>
      </c>
      <c r="E3" s="992"/>
      <c r="F3" s="992"/>
      <c r="G3" s="992"/>
      <c r="H3" s="992"/>
    </row>
    <row r="4" spans="1:8" s="516" customFormat="1">
      <c r="A4" s="1158"/>
      <c r="B4" s="1158"/>
      <c r="C4" s="1158"/>
      <c r="D4" s="992"/>
      <c r="E4" s="992"/>
      <c r="F4" s="992"/>
      <c r="G4" s="992"/>
      <c r="H4" s="992"/>
    </row>
    <row r="5" spans="1:8" s="516" customFormat="1">
      <c r="A5" s="1159" t="s">
        <v>283</v>
      </c>
      <c r="B5" s="1516" t="s">
        <v>659</v>
      </c>
      <c r="C5" s="1516"/>
      <c r="D5" s="992"/>
      <c r="E5" s="992"/>
      <c r="F5" s="992"/>
      <c r="G5" s="992"/>
      <c r="H5" s="992"/>
    </row>
    <row r="6" spans="1:8" s="516" customFormat="1">
      <c r="A6" s="1158"/>
      <c r="B6" s="1516" t="s">
        <v>660</v>
      </c>
      <c r="C6" s="1516"/>
      <c r="D6" s="992"/>
      <c r="E6" s="992"/>
      <c r="F6" s="992"/>
      <c r="G6" s="992"/>
      <c r="H6" s="992"/>
    </row>
    <row r="7" spans="1:8" s="516" customFormat="1">
      <c r="A7" s="1518"/>
      <c r="B7" s="1518"/>
      <c r="C7" s="1518"/>
      <c r="D7" s="992"/>
      <c r="E7" s="992"/>
      <c r="F7" s="992"/>
      <c r="G7" s="992"/>
      <c r="H7" s="992"/>
    </row>
    <row r="8" spans="1:8" s="516" customFormat="1" ht="24.75" customHeight="1">
      <c r="A8" s="1517" t="s">
        <v>284</v>
      </c>
      <c r="B8" s="1517"/>
      <c r="C8" s="1517"/>
      <c r="D8" s="992"/>
      <c r="E8" s="992"/>
      <c r="F8" s="992"/>
      <c r="G8" s="992"/>
      <c r="H8" s="992"/>
    </row>
    <row r="9" spans="1:8" s="516" customFormat="1" ht="15.75" thickBot="1">
      <c r="A9" s="1157"/>
      <c r="B9" s="1157"/>
      <c r="C9" s="1157"/>
      <c r="D9" s="992"/>
      <c r="E9" s="992"/>
      <c r="F9" s="992"/>
      <c r="G9" s="992"/>
      <c r="H9" s="992"/>
    </row>
    <row r="10" spans="1:8" s="516" customFormat="1" ht="15.75" thickBot="1">
      <c r="A10" s="1160" t="s">
        <v>285</v>
      </c>
      <c r="B10" s="1161" t="s">
        <v>286</v>
      </c>
      <c r="C10" s="1162" t="s">
        <v>287</v>
      </c>
      <c r="D10" s="992"/>
      <c r="E10" s="992"/>
      <c r="F10" s="992"/>
      <c r="G10" s="992"/>
      <c r="H10" s="992"/>
    </row>
    <row r="11" spans="1:8">
      <c r="A11" s="1519" t="s">
        <v>81</v>
      </c>
      <c r="B11" s="1163" t="s">
        <v>661</v>
      </c>
      <c r="C11" s="1163" t="s">
        <v>666</v>
      </c>
    </row>
    <row r="12" spans="1:8">
      <c r="A12" s="1520"/>
      <c r="B12" s="1163" t="s">
        <v>662</v>
      </c>
      <c r="C12" s="1163" t="s">
        <v>667</v>
      </c>
    </row>
    <row r="13" spans="1:8" ht="25.5">
      <c r="A13" s="1520"/>
      <c r="B13" s="1163" t="s">
        <v>663</v>
      </c>
      <c r="C13" s="1163" t="s">
        <v>668</v>
      </c>
    </row>
    <row r="14" spans="1:8">
      <c r="A14" s="1520"/>
      <c r="B14" s="1163" t="s">
        <v>664</v>
      </c>
      <c r="C14" s="1165"/>
    </row>
    <row r="15" spans="1:8" ht="15.75" thickBot="1">
      <c r="A15" s="1521"/>
      <c r="B15" s="1164" t="s">
        <v>665</v>
      </c>
      <c r="C15" s="1166"/>
    </row>
    <row r="16" spans="1:8" ht="51">
      <c r="A16" s="1519" t="s">
        <v>288</v>
      </c>
      <c r="B16" s="1163" t="s">
        <v>669</v>
      </c>
      <c r="C16" s="1163" t="s">
        <v>674</v>
      </c>
    </row>
    <row r="17" spans="1:4" ht="51">
      <c r="A17" s="1520"/>
      <c r="B17" s="1163" t="s">
        <v>670</v>
      </c>
      <c r="C17" s="1163" t="s">
        <v>675</v>
      </c>
    </row>
    <row r="18" spans="1:4" ht="25.5">
      <c r="A18" s="1520"/>
      <c r="B18" s="1163" t="s">
        <v>671</v>
      </c>
      <c r="C18" s="1163" t="s">
        <v>676</v>
      </c>
    </row>
    <row r="19" spans="1:4">
      <c r="A19" s="1520"/>
      <c r="B19" s="1163" t="s">
        <v>672</v>
      </c>
      <c r="C19" s="1163" t="s">
        <v>677</v>
      </c>
      <c r="D19" s="994"/>
    </row>
    <row r="20" spans="1:4" ht="26.25" thickBot="1">
      <c r="A20" s="1521"/>
      <c r="B20" s="1164" t="s">
        <v>673</v>
      </c>
      <c r="C20" s="1164" t="s">
        <v>678</v>
      </c>
    </row>
    <row r="21" spans="1:4" ht="38.25">
      <c r="A21" s="1519" t="s">
        <v>289</v>
      </c>
      <c r="B21" s="1163" t="s">
        <v>679</v>
      </c>
      <c r="C21" s="1163" t="s">
        <v>683</v>
      </c>
    </row>
    <row r="22" spans="1:4" ht="25.5">
      <c r="A22" s="1520"/>
      <c r="B22" s="1163" t="s">
        <v>680</v>
      </c>
      <c r="C22" s="1163" t="s">
        <v>684</v>
      </c>
    </row>
    <row r="23" spans="1:4" ht="38.25">
      <c r="A23" s="1520"/>
      <c r="B23" s="1163" t="s">
        <v>681</v>
      </c>
      <c r="C23" s="1163" t="s">
        <v>685</v>
      </c>
    </row>
    <row r="24" spans="1:4" ht="25.5">
      <c r="A24" s="1520"/>
      <c r="B24" s="1163" t="s">
        <v>682</v>
      </c>
      <c r="C24" s="1163" t="s">
        <v>686</v>
      </c>
    </row>
    <row r="25" spans="1:4" ht="15.75" thickBot="1">
      <c r="A25" s="1521"/>
      <c r="B25" s="1166"/>
      <c r="C25" s="1164" t="s">
        <v>687</v>
      </c>
      <c r="D25" s="981" t="s">
        <v>531</v>
      </c>
    </row>
    <row r="26" spans="1:4" ht="15" customHeight="1">
      <c r="A26" s="1519" t="s">
        <v>87</v>
      </c>
      <c r="B26" s="1163" t="s">
        <v>688</v>
      </c>
      <c r="C26" s="1522" t="s">
        <v>290</v>
      </c>
    </row>
    <row r="27" spans="1:4">
      <c r="A27" s="1520"/>
      <c r="B27" s="1163" t="s">
        <v>689</v>
      </c>
      <c r="C27" s="1523"/>
    </row>
    <row r="28" spans="1:4">
      <c r="A28" s="1520"/>
      <c r="B28" s="1163" t="s">
        <v>690</v>
      </c>
      <c r="C28" s="1523"/>
    </row>
    <row r="29" spans="1:4">
      <c r="A29" s="1520"/>
      <c r="B29" s="1163" t="s">
        <v>691</v>
      </c>
      <c r="C29" s="1523"/>
    </row>
    <row r="30" spans="1:4">
      <c r="A30" s="1520"/>
      <c r="B30" s="1163" t="s">
        <v>692</v>
      </c>
      <c r="C30" s="1523"/>
    </row>
    <row r="31" spans="1:4">
      <c r="A31" s="1520"/>
      <c r="B31" s="1163" t="s">
        <v>693</v>
      </c>
      <c r="C31" s="1523"/>
    </row>
    <row r="32" spans="1:4">
      <c r="A32" s="1520"/>
      <c r="B32" s="1163" t="s">
        <v>694</v>
      </c>
      <c r="C32" s="1523"/>
    </row>
    <row r="33" spans="1:3">
      <c r="A33" s="1520"/>
      <c r="B33" s="1163" t="s">
        <v>695</v>
      </c>
      <c r="C33" s="1523"/>
    </row>
    <row r="34" spans="1:3">
      <c r="A34" s="1520"/>
      <c r="B34" s="1226" t="s">
        <v>696</v>
      </c>
      <c r="C34" s="1523"/>
    </row>
    <row r="35" spans="1:3" ht="15.75" thickBot="1">
      <c r="A35" s="1521"/>
      <c r="B35" s="1227" t="s">
        <v>812</v>
      </c>
      <c r="C35" s="1524"/>
    </row>
    <row r="36" spans="1:3">
      <c r="A36" s="1519" t="s">
        <v>291</v>
      </c>
      <c r="B36" s="1163" t="s">
        <v>697</v>
      </c>
      <c r="C36" s="1163" t="s">
        <v>709</v>
      </c>
    </row>
    <row r="37" spans="1:3">
      <c r="A37" s="1520"/>
      <c r="B37" s="1163" t="s">
        <v>698</v>
      </c>
      <c r="C37" s="1167"/>
    </row>
    <row r="38" spans="1:3">
      <c r="A38" s="1520"/>
      <c r="B38" s="1163" t="s">
        <v>699</v>
      </c>
      <c r="C38" s="1163" t="s">
        <v>710</v>
      </c>
    </row>
    <row r="39" spans="1:3">
      <c r="A39" s="1520"/>
      <c r="B39" s="1163" t="s">
        <v>700</v>
      </c>
      <c r="C39" s="1165"/>
    </row>
    <row r="40" spans="1:3">
      <c r="A40" s="1520"/>
      <c r="B40" s="1163" t="s">
        <v>701</v>
      </c>
      <c r="C40" s="1165"/>
    </row>
    <row r="41" spans="1:3">
      <c r="A41" s="1520"/>
      <c r="B41" s="1163" t="s">
        <v>702</v>
      </c>
      <c r="C41" s="1165"/>
    </row>
    <row r="42" spans="1:3">
      <c r="A42" s="1520"/>
      <c r="B42" s="1163" t="s">
        <v>703</v>
      </c>
      <c r="C42" s="1165"/>
    </row>
    <row r="43" spans="1:3">
      <c r="A43" s="1520"/>
      <c r="B43" s="1163" t="s">
        <v>704</v>
      </c>
      <c r="C43" s="1165"/>
    </row>
    <row r="44" spans="1:3">
      <c r="A44" s="1520"/>
      <c r="B44" s="1163" t="s">
        <v>705</v>
      </c>
      <c r="C44" s="1165"/>
    </row>
    <row r="45" spans="1:3">
      <c r="A45" s="1520"/>
      <c r="B45" s="1163" t="s">
        <v>706</v>
      </c>
      <c r="C45" s="1165"/>
    </row>
    <row r="46" spans="1:3">
      <c r="A46" s="1520"/>
      <c r="B46" s="1163" t="s">
        <v>707</v>
      </c>
      <c r="C46" s="1165"/>
    </row>
    <row r="47" spans="1:3" ht="15.75" thickBot="1">
      <c r="A47" s="1521"/>
      <c r="B47" s="1164" t="s">
        <v>708</v>
      </c>
      <c r="C47" s="1166"/>
    </row>
    <row r="48" spans="1:3" ht="38.25">
      <c r="A48" s="1519" t="s">
        <v>91</v>
      </c>
      <c r="B48" s="1163" t="s">
        <v>711</v>
      </c>
      <c r="C48" s="1525"/>
    </row>
    <row r="49" spans="1:3" ht="39" thickBot="1">
      <c r="A49" s="1521"/>
      <c r="B49" s="1164" t="s">
        <v>712</v>
      </c>
      <c r="C49" s="1526"/>
    </row>
    <row r="50" spans="1:3">
      <c r="A50" s="1519" t="s">
        <v>93</v>
      </c>
      <c r="B50" s="1163" t="s">
        <v>713</v>
      </c>
      <c r="C50" s="1163" t="s">
        <v>723</v>
      </c>
    </row>
    <row r="51" spans="1:3" ht="18">
      <c r="A51" s="1520"/>
      <c r="B51" s="1163" t="s">
        <v>714</v>
      </c>
      <c r="C51" s="1163" t="s">
        <v>724</v>
      </c>
    </row>
    <row r="52" spans="1:3" ht="18">
      <c r="A52" s="1520"/>
      <c r="B52" s="1163" t="s">
        <v>715</v>
      </c>
      <c r="C52" s="1163" t="s">
        <v>725</v>
      </c>
    </row>
    <row r="53" spans="1:3">
      <c r="A53" s="1520"/>
      <c r="B53" s="1163" t="s">
        <v>716</v>
      </c>
      <c r="C53" s="1165"/>
    </row>
    <row r="54" spans="1:3">
      <c r="A54" s="1520"/>
      <c r="B54" s="1163" t="s">
        <v>717</v>
      </c>
      <c r="C54" s="1165"/>
    </row>
    <row r="55" spans="1:3">
      <c r="A55" s="1520"/>
      <c r="B55" s="1163" t="s">
        <v>718</v>
      </c>
      <c r="C55" s="1165"/>
    </row>
    <row r="56" spans="1:3">
      <c r="A56" s="1520"/>
      <c r="B56" s="1163" t="s">
        <v>719</v>
      </c>
      <c r="C56" s="1165"/>
    </row>
    <row r="57" spans="1:3">
      <c r="A57" s="1520"/>
      <c r="B57" s="1163" t="s">
        <v>720</v>
      </c>
      <c r="C57" s="1165"/>
    </row>
    <row r="58" spans="1:3">
      <c r="A58" s="1520"/>
      <c r="B58" s="1163" t="s">
        <v>721</v>
      </c>
      <c r="C58" s="1165"/>
    </row>
    <row r="59" spans="1:3" ht="15.75" thickBot="1">
      <c r="A59" s="1521"/>
      <c r="B59" s="1164" t="s">
        <v>722</v>
      </c>
      <c r="C59" s="1166"/>
    </row>
    <row r="60" spans="1:3">
      <c r="A60" s="1519" t="s">
        <v>292</v>
      </c>
      <c r="B60" s="1163" t="s">
        <v>726</v>
      </c>
      <c r="C60" s="1522" t="s">
        <v>293</v>
      </c>
    </row>
    <row r="61" spans="1:3" ht="38.25">
      <c r="A61" s="1520"/>
      <c r="B61" s="1163" t="s">
        <v>727</v>
      </c>
      <c r="C61" s="1523"/>
    </row>
    <row r="62" spans="1:3" ht="38.25">
      <c r="A62" s="1520"/>
      <c r="B62" s="1163" t="s">
        <v>728</v>
      </c>
      <c r="C62" s="1523"/>
    </row>
    <row r="63" spans="1:3" ht="15.75" thickBot="1">
      <c r="A63" s="1521"/>
      <c r="B63" s="1164" t="s">
        <v>729</v>
      </c>
      <c r="C63" s="1524"/>
    </row>
    <row r="64" spans="1:3">
      <c r="A64" s="1519" t="s">
        <v>294</v>
      </c>
      <c r="B64" s="1163" t="s">
        <v>730</v>
      </c>
      <c r="C64" s="1522" t="s">
        <v>295</v>
      </c>
    </row>
    <row r="65" spans="1:3">
      <c r="A65" s="1520"/>
      <c r="B65" s="1163" t="s">
        <v>731</v>
      </c>
      <c r="C65" s="1523"/>
    </row>
    <row r="66" spans="1:3">
      <c r="A66" s="1520"/>
      <c r="B66" s="1163" t="s">
        <v>732</v>
      </c>
      <c r="C66" s="1523"/>
    </row>
    <row r="67" spans="1:3">
      <c r="A67" s="1520"/>
      <c r="B67" s="1163" t="s">
        <v>733</v>
      </c>
      <c r="C67" s="1523"/>
    </row>
    <row r="68" spans="1:3">
      <c r="A68" s="1520"/>
      <c r="B68" s="1163" t="s">
        <v>734</v>
      </c>
      <c r="C68" s="1523"/>
    </row>
    <row r="69" spans="1:3">
      <c r="A69" s="1520"/>
      <c r="B69" s="1163" t="s">
        <v>735</v>
      </c>
      <c r="C69" s="1523"/>
    </row>
    <row r="70" spans="1:3">
      <c r="A70" s="1520"/>
      <c r="B70" s="1163" t="s">
        <v>736</v>
      </c>
      <c r="C70" s="1523"/>
    </row>
    <row r="71" spans="1:3">
      <c r="A71" s="1520"/>
      <c r="B71" s="1163" t="s">
        <v>737</v>
      </c>
      <c r="C71" s="1523"/>
    </row>
    <row r="72" spans="1:3">
      <c r="A72" s="1520"/>
      <c r="B72" s="1163" t="s">
        <v>738</v>
      </c>
      <c r="C72" s="1523"/>
    </row>
    <row r="73" spans="1:3">
      <c r="A73" s="1520"/>
      <c r="B73" s="1163" t="s">
        <v>739</v>
      </c>
      <c r="C73" s="1523"/>
    </row>
    <row r="74" spans="1:3">
      <c r="A74" s="1520"/>
      <c r="B74" s="1163" t="s">
        <v>740</v>
      </c>
      <c r="C74" s="1523"/>
    </row>
    <row r="75" spans="1:3" ht="15.75" thickBot="1">
      <c r="A75" s="1521"/>
      <c r="B75" s="1164" t="s">
        <v>741</v>
      </c>
      <c r="C75" s="1524"/>
    </row>
    <row r="76" spans="1:3" ht="25.5">
      <c r="A76" s="1519" t="s">
        <v>296</v>
      </c>
      <c r="B76" s="1163" t="s">
        <v>742</v>
      </c>
      <c r="C76" s="1522"/>
    </row>
    <row r="77" spans="1:3" ht="15.75" thickBot="1">
      <c r="A77" s="1521"/>
      <c r="B77" s="1164" t="s">
        <v>743</v>
      </c>
      <c r="C77" s="1524"/>
    </row>
    <row r="78" spans="1:3" ht="15.75" thickBot="1">
      <c r="A78" s="1168" t="s">
        <v>297</v>
      </c>
      <c r="B78" s="1164" t="s">
        <v>298</v>
      </c>
      <c r="C78" s="1164"/>
    </row>
    <row r="79" spans="1:3" ht="26.25" thickBot="1">
      <c r="A79" s="1168" t="s">
        <v>299</v>
      </c>
      <c r="B79" s="1164" t="s">
        <v>300</v>
      </c>
      <c r="C79" s="1164"/>
    </row>
    <row r="80" spans="1:3" ht="26.25" thickBot="1">
      <c r="A80" s="1168" t="s">
        <v>484</v>
      </c>
      <c r="B80" s="1164" t="s">
        <v>744</v>
      </c>
      <c r="C80" s="1164" t="s">
        <v>745</v>
      </c>
    </row>
    <row r="81" spans="1:3" ht="26.25" thickBot="1">
      <c r="A81" s="1168" t="s">
        <v>301</v>
      </c>
      <c r="B81" s="1164" t="s">
        <v>300</v>
      </c>
      <c r="C81" s="1164"/>
    </row>
    <row r="82" spans="1:3" ht="26.25" thickBot="1">
      <c r="A82" s="1168" t="s">
        <v>302</v>
      </c>
      <c r="B82" s="1164" t="s">
        <v>303</v>
      </c>
      <c r="C82" s="1164"/>
    </row>
    <row r="83" spans="1:3" ht="39" thickBot="1">
      <c r="A83" s="1168" t="s">
        <v>304</v>
      </c>
      <c r="B83" s="1164" t="s">
        <v>305</v>
      </c>
      <c r="C83" s="1164"/>
    </row>
    <row r="84" spans="1:3" ht="39" thickBot="1">
      <c r="A84" s="1168" t="s">
        <v>306</v>
      </c>
      <c r="B84" s="1164" t="s">
        <v>307</v>
      </c>
      <c r="C84" s="1164"/>
    </row>
  </sheetData>
  <sheetProtection algorithmName="SHA-512" hashValue="UZCO+xpbzcc4HYv5X3Q9T3YEBfOZqqsdpKIPXjyzfxwRGJEj0B6w3ZW7DvvzeZWuVVGNOZpiUmA9h49FhLliwA==" saltValue="DjyWkI22B6+du1t/AqyCaw==" spinCount="100000" sheet="1" objects="1" scenarios="1"/>
  <mergeCells count="21">
    <mergeCell ref="A64:A75"/>
    <mergeCell ref="C64:C75"/>
    <mergeCell ref="A76:A77"/>
    <mergeCell ref="C76:C77"/>
    <mergeCell ref="A36:A47"/>
    <mergeCell ref="A48:A49"/>
    <mergeCell ref="C48:C49"/>
    <mergeCell ref="A50:A59"/>
    <mergeCell ref="A60:A63"/>
    <mergeCell ref="C60:C63"/>
    <mergeCell ref="A11:A15"/>
    <mergeCell ref="A16:A20"/>
    <mergeCell ref="A21:A25"/>
    <mergeCell ref="A26:A35"/>
    <mergeCell ref="C26:C35"/>
    <mergeCell ref="A1:C1"/>
    <mergeCell ref="A3:C3"/>
    <mergeCell ref="B5:C5"/>
    <mergeCell ref="B6:C6"/>
    <mergeCell ref="A8:C8"/>
    <mergeCell ref="A7:C7"/>
  </mergeCells>
  <pageMargins left="0.70866141732283472" right="0.70866141732283472" top="0.78740157480314965" bottom="0.78740157480314965" header="0.31496062992125984" footer="0.31496062992125984"/>
  <pageSetup paperSize="9" scale="60" fitToHeight="2" orientation="portrait"/>
  <headerFooter>
    <oddHeader>&amp;C&amp;9&amp;A</oddHeader>
    <oddFooter>&amp;L&amp;8Version: 15.01.2020&amp;C&amp;8Verhandlungsunterlagen SGB XI&amp;R&amp;8PSK-Beschluss Nr. 3/2019 vom 19.09.2019</oddFooter>
  </headerFooter>
  <rowBreaks count="1" manualBreakCount="1">
    <brk id="63" max="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S52"/>
  <sheetViews>
    <sheetView workbookViewId="0">
      <pane ySplit="4" topLeftCell="A5" activePane="bottomLeft" state="frozen"/>
      <selection pane="bottomLeft" activeCell="E34" sqref="E34"/>
    </sheetView>
  </sheetViews>
  <sheetFormatPr baseColWidth="10" defaultColWidth="10" defaultRowHeight="14.25"/>
  <cols>
    <col min="1" max="3" width="10" style="532"/>
    <col min="4" max="4" width="7.625" style="532" customWidth="1"/>
    <col min="5" max="5" width="2.875" style="532" customWidth="1"/>
    <col min="6" max="6" width="2" style="532" customWidth="1"/>
    <col min="7" max="7" width="10.625" style="532" customWidth="1"/>
    <col min="8" max="8" width="10" style="532"/>
    <col min="9" max="9" width="11.5" style="532" customWidth="1"/>
    <col min="10" max="13" width="10" style="1202" hidden="1" customWidth="1"/>
    <col min="14" max="14" width="10" style="532" customWidth="1"/>
    <col min="15" max="16384" width="10" style="532"/>
  </cols>
  <sheetData>
    <row r="1" spans="1:19" ht="15" customHeight="1">
      <c r="A1" s="1527" t="s">
        <v>308</v>
      </c>
      <c r="B1" s="1528"/>
      <c r="C1" s="1528"/>
      <c r="D1" s="1528"/>
      <c r="E1" s="1528"/>
      <c r="F1" s="1528"/>
      <c r="G1" s="1528"/>
      <c r="H1" s="1528"/>
      <c r="I1" s="1529"/>
      <c r="J1" s="835" t="s">
        <v>429</v>
      </c>
    </row>
    <row r="2" spans="1:19">
      <c r="A2" s="1530"/>
      <c r="B2" s="1531"/>
      <c r="C2" s="1531"/>
      <c r="D2" s="1531"/>
      <c r="E2" s="1531"/>
      <c r="F2" s="1531"/>
      <c r="G2" s="1531"/>
      <c r="H2" s="1531"/>
      <c r="I2" s="1532"/>
      <c r="J2" s="825" t="s">
        <v>437</v>
      </c>
    </row>
    <row r="3" spans="1:19">
      <c r="A3" s="1530"/>
      <c r="B3" s="1531"/>
      <c r="C3" s="1531"/>
      <c r="D3" s="1531"/>
      <c r="E3" s="1531"/>
      <c r="F3" s="1531"/>
      <c r="G3" s="1531"/>
      <c r="H3" s="1531"/>
      <c r="I3" s="1532"/>
      <c r="J3" s="1203"/>
    </row>
    <row r="4" spans="1:19">
      <c r="A4" s="1533"/>
      <c r="B4" s="1534"/>
      <c r="C4" s="1534"/>
      <c r="D4" s="1534"/>
      <c r="E4" s="1534"/>
      <c r="F4" s="1534"/>
      <c r="G4" s="1534"/>
      <c r="H4" s="1534"/>
      <c r="I4" s="1535"/>
    </row>
    <row r="5" spans="1:19">
      <c r="A5" s="518" t="s">
        <v>309</v>
      </c>
      <c r="B5" s="519"/>
      <c r="C5" s="519"/>
      <c r="D5" s="519"/>
      <c r="E5" s="519"/>
      <c r="F5" s="519"/>
      <c r="G5" s="519"/>
      <c r="H5" s="519"/>
      <c r="I5" s="520"/>
      <c r="J5" s="1204" t="s">
        <v>430</v>
      </c>
      <c r="K5" s="1205"/>
      <c r="L5" s="1205"/>
      <c r="M5" s="1205"/>
      <c r="N5" s="519"/>
      <c r="O5" s="519"/>
      <c r="P5" s="519"/>
      <c r="Q5" s="519"/>
      <c r="R5" s="519"/>
      <c r="S5" s="519"/>
    </row>
    <row r="6" spans="1:19">
      <c r="A6" s="541" t="s">
        <v>433</v>
      </c>
      <c r="B6" s="519"/>
      <c r="C6" s="519"/>
      <c r="D6" s="519"/>
      <c r="E6" s="519"/>
      <c r="F6" s="519"/>
      <c r="G6" s="519"/>
      <c r="H6" s="519"/>
      <c r="I6" s="520"/>
      <c r="J6" s="1204" t="s">
        <v>431</v>
      </c>
      <c r="K6" s="1206"/>
      <c r="L6" s="1206"/>
      <c r="M6" s="1206"/>
      <c r="N6" s="739"/>
      <c r="O6" s="739"/>
      <c r="P6" s="739"/>
      <c r="Q6" s="739"/>
      <c r="R6" s="739"/>
      <c r="S6" s="739"/>
    </row>
    <row r="7" spans="1:19">
      <c r="A7" s="541" t="s">
        <v>431</v>
      </c>
      <c r="B7" s="519"/>
      <c r="C7" s="519"/>
      <c r="D7" s="519"/>
      <c r="E7" s="535"/>
      <c r="F7" s="519"/>
      <c r="G7" s="519"/>
      <c r="H7" s="519"/>
      <c r="I7" s="520"/>
      <c r="J7" s="1204" t="s">
        <v>432</v>
      </c>
      <c r="K7" s="1205"/>
      <c r="L7" s="1205"/>
      <c r="M7" s="1205"/>
      <c r="N7" s="519"/>
      <c r="O7" s="519"/>
      <c r="P7" s="519"/>
      <c r="Q7" s="519"/>
      <c r="R7" s="519"/>
      <c r="S7" s="519"/>
    </row>
    <row r="8" spans="1:19">
      <c r="A8" s="521" t="s">
        <v>432</v>
      </c>
      <c r="B8" s="519"/>
      <c r="C8" s="519"/>
      <c r="D8" s="519"/>
      <c r="E8" s="519"/>
      <c r="F8" s="519"/>
      <c r="G8" s="519"/>
      <c r="H8" s="519"/>
      <c r="I8" s="520"/>
      <c r="J8" s="1204"/>
      <c r="K8" s="1205"/>
      <c r="L8" s="1205"/>
      <c r="M8" s="1205"/>
      <c r="N8" s="519"/>
      <c r="O8" s="519"/>
      <c r="P8" s="519"/>
      <c r="Q8" s="519"/>
      <c r="R8" s="519"/>
      <c r="S8" s="519"/>
    </row>
    <row r="9" spans="1:19">
      <c r="A9" s="518" t="s">
        <v>310</v>
      </c>
      <c r="B9" s="519"/>
      <c r="C9" s="519"/>
      <c r="D9" s="519"/>
      <c r="E9" s="519"/>
      <c r="F9" s="519"/>
      <c r="G9" s="519"/>
      <c r="H9" s="519"/>
      <c r="I9" s="520"/>
      <c r="J9" s="1204"/>
      <c r="K9" s="1205"/>
      <c r="L9" s="1205"/>
      <c r="M9" s="1205"/>
      <c r="N9" s="519"/>
      <c r="O9" s="519"/>
      <c r="P9" s="519"/>
      <c r="Q9" s="519"/>
      <c r="R9" s="519"/>
      <c r="S9" s="519"/>
    </row>
    <row r="10" spans="1:19">
      <c r="A10" s="518" t="s">
        <v>311</v>
      </c>
      <c r="B10" s="519"/>
      <c r="C10" s="519"/>
      <c r="D10" s="519"/>
      <c r="E10" s="519"/>
      <c r="F10" s="519"/>
      <c r="G10" s="519"/>
      <c r="H10" s="519"/>
      <c r="I10" s="520"/>
      <c r="J10" s="1204"/>
      <c r="K10" s="1205"/>
      <c r="L10" s="1205"/>
      <c r="M10" s="1205"/>
      <c r="N10" s="519"/>
      <c r="O10" s="519"/>
      <c r="P10" s="519"/>
      <c r="Q10" s="519"/>
      <c r="R10" s="519"/>
      <c r="S10" s="519"/>
    </row>
    <row r="11" spans="1:19">
      <c r="A11" s="518"/>
      <c r="B11" s="519"/>
      <c r="C11" s="519"/>
      <c r="D11" s="519"/>
      <c r="E11" s="519"/>
      <c r="F11" s="519"/>
      <c r="G11" s="519"/>
      <c r="H11" s="519"/>
      <c r="I11" s="520"/>
      <c r="J11" s="1204"/>
      <c r="K11" s="1205"/>
      <c r="L11" s="1205"/>
      <c r="M11" s="1205"/>
      <c r="N11" s="519"/>
      <c r="O11" s="519"/>
      <c r="P11" s="519"/>
      <c r="Q11" s="519"/>
      <c r="R11" s="519"/>
      <c r="S11" s="519"/>
    </row>
    <row r="12" spans="1:19">
      <c r="A12" s="518" t="s">
        <v>312</v>
      </c>
      <c r="B12" s="519"/>
      <c r="C12" s="519"/>
      <c r="D12" s="519"/>
      <c r="E12" s="535"/>
      <c r="F12" s="519"/>
      <c r="G12" s="519"/>
      <c r="H12" s="519"/>
      <c r="I12" s="520"/>
    </row>
    <row r="13" spans="1:19">
      <c r="A13" s="518" t="s">
        <v>313</v>
      </c>
      <c r="B13" s="519"/>
      <c r="C13" s="519"/>
      <c r="D13" s="519"/>
      <c r="E13" s="519"/>
      <c r="F13" s="519"/>
      <c r="G13" s="519"/>
      <c r="H13" s="519"/>
      <c r="I13" s="520"/>
    </row>
    <row r="14" spans="1:19">
      <c r="A14" s="518" t="s">
        <v>314</v>
      </c>
      <c r="B14" s="519"/>
      <c r="C14" s="519"/>
      <c r="D14" s="519"/>
      <c r="E14" s="519"/>
      <c r="F14" s="519"/>
      <c r="G14" s="519"/>
      <c r="H14" s="519"/>
      <c r="I14" s="520"/>
    </row>
    <row r="15" spans="1:19">
      <c r="A15" s="518"/>
      <c r="B15" s="519"/>
      <c r="C15" s="519"/>
      <c r="D15" s="519"/>
      <c r="E15" s="519"/>
      <c r="F15" s="519"/>
      <c r="G15" s="519"/>
      <c r="H15" s="519"/>
      <c r="I15" s="520"/>
    </row>
    <row r="16" spans="1:19">
      <c r="A16" s="518" t="s">
        <v>315</v>
      </c>
      <c r="B16" s="519"/>
      <c r="C16" s="519"/>
      <c r="D16" s="519"/>
      <c r="E16" s="535"/>
      <c r="F16" s="519"/>
      <c r="G16" s="519"/>
      <c r="H16" s="519"/>
      <c r="I16" s="520"/>
    </row>
    <row r="17" spans="1:10">
      <c r="A17" s="518" t="s">
        <v>316</v>
      </c>
      <c r="B17" s="519"/>
      <c r="C17" s="519"/>
      <c r="D17" s="519"/>
      <c r="E17" s="519"/>
      <c r="F17" s="519"/>
      <c r="G17" s="519"/>
      <c r="H17" s="519"/>
      <c r="I17" s="520"/>
    </row>
    <row r="18" spans="1:10">
      <c r="A18" s="518" t="s">
        <v>317</v>
      </c>
      <c r="B18" s="519"/>
      <c r="C18" s="519"/>
      <c r="D18" s="519"/>
      <c r="E18" s="519"/>
      <c r="F18" s="519"/>
      <c r="G18" s="519"/>
      <c r="H18" s="519"/>
      <c r="I18" s="520"/>
    </row>
    <row r="19" spans="1:10">
      <c r="A19" s="518" t="s">
        <v>318</v>
      </c>
      <c r="B19" s="519"/>
      <c r="C19" s="519"/>
      <c r="D19" s="519"/>
      <c r="E19" s="519"/>
      <c r="F19" s="519"/>
      <c r="G19" s="519"/>
      <c r="H19" s="519"/>
      <c r="I19" s="520"/>
    </row>
    <row r="20" spans="1:10">
      <c r="A20" s="518"/>
      <c r="B20" s="519"/>
      <c r="C20" s="519"/>
      <c r="D20" s="519"/>
      <c r="E20" s="519"/>
      <c r="F20" s="519"/>
      <c r="G20" s="519"/>
      <c r="H20" s="519"/>
      <c r="I20" s="520"/>
    </row>
    <row r="21" spans="1:10">
      <c r="A21" s="518" t="s">
        <v>319</v>
      </c>
      <c r="B21" s="519"/>
      <c r="C21" s="519"/>
      <c r="D21" s="519"/>
      <c r="E21" s="535"/>
      <c r="F21" s="519"/>
      <c r="G21" s="745" t="s">
        <v>436</v>
      </c>
      <c r="H21" s="519"/>
      <c r="I21" s="520"/>
      <c r="J21" s="1207" t="s">
        <v>436</v>
      </c>
    </row>
    <row r="22" spans="1:10">
      <c r="A22" s="518" t="s">
        <v>434</v>
      </c>
      <c r="B22" s="519"/>
      <c r="C22" s="519"/>
      <c r="D22" s="519"/>
      <c r="E22" s="519"/>
      <c r="F22" s="519"/>
      <c r="G22" s="519"/>
      <c r="H22" s="519"/>
      <c r="I22" s="520"/>
      <c r="J22" s="1064" t="s">
        <v>434</v>
      </c>
    </row>
    <row r="23" spans="1:10">
      <c r="A23" s="541" t="s">
        <v>435</v>
      </c>
      <c r="B23" s="519"/>
      <c r="C23" s="519"/>
      <c r="D23" s="519"/>
      <c r="E23" s="519"/>
      <c r="F23" s="519"/>
      <c r="G23" s="519"/>
      <c r="H23" s="519"/>
      <c r="I23" s="520"/>
      <c r="J23" s="1064" t="s">
        <v>435</v>
      </c>
    </row>
    <row r="24" spans="1:10">
      <c r="A24" s="518"/>
      <c r="B24" s="519"/>
      <c r="C24" s="519"/>
      <c r="D24" s="519"/>
      <c r="E24" s="519"/>
      <c r="F24" s="519"/>
      <c r="G24" s="519"/>
      <c r="H24" s="519"/>
      <c r="I24" s="520"/>
    </row>
    <row r="25" spans="1:10">
      <c r="A25" s="522" t="s">
        <v>320</v>
      </c>
      <c r="B25" s="519"/>
      <c r="C25" s="519"/>
      <c r="D25" s="519"/>
      <c r="E25" s="519"/>
      <c r="F25" s="519"/>
      <c r="G25" s="519"/>
      <c r="H25" s="519"/>
      <c r="I25" s="520"/>
    </row>
    <row r="26" spans="1:10">
      <c r="A26" s="518"/>
      <c r="B26" s="519"/>
      <c r="C26" s="519"/>
      <c r="D26" s="519"/>
      <c r="E26" s="519"/>
      <c r="F26" s="519"/>
      <c r="G26" s="519"/>
      <c r="H26" s="519"/>
      <c r="I26" s="520"/>
    </row>
    <row r="27" spans="1:10">
      <c r="A27" s="518" t="s">
        <v>321</v>
      </c>
      <c r="B27" s="519"/>
      <c r="C27" s="519"/>
      <c r="D27" s="519"/>
      <c r="E27" s="535"/>
      <c r="F27" s="519"/>
      <c r="G27" s="519"/>
      <c r="H27" s="519"/>
      <c r="I27" s="520"/>
    </row>
    <row r="28" spans="1:10">
      <c r="A28" s="518" t="s">
        <v>322</v>
      </c>
      <c r="B28" s="519"/>
      <c r="C28" s="519"/>
      <c r="D28" s="519"/>
      <c r="E28" s="519"/>
      <c r="F28" s="519"/>
      <c r="G28" s="519"/>
      <c r="H28" s="519"/>
      <c r="I28" s="520"/>
    </row>
    <row r="29" spans="1:10">
      <c r="A29" s="518" t="s">
        <v>323</v>
      </c>
      <c r="B29" s="519"/>
      <c r="C29" s="519"/>
      <c r="D29" s="519"/>
      <c r="E29" s="519"/>
      <c r="F29" s="519"/>
      <c r="G29" s="519"/>
      <c r="H29" s="519"/>
      <c r="I29" s="520"/>
    </row>
    <row r="30" spans="1:10">
      <c r="A30" s="518" t="s">
        <v>324</v>
      </c>
      <c r="B30" s="519"/>
      <c r="C30" s="519"/>
      <c r="D30" s="519"/>
      <c r="E30" s="519"/>
      <c r="F30" s="519"/>
      <c r="G30" s="519"/>
      <c r="H30" s="519"/>
      <c r="I30" s="520"/>
    </row>
    <row r="31" spans="1:10">
      <c r="A31" s="518"/>
      <c r="B31" s="519"/>
      <c r="C31" s="519"/>
      <c r="D31" s="519"/>
      <c r="E31" s="519"/>
      <c r="F31" s="519"/>
      <c r="G31" s="519"/>
      <c r="H31" s="519"/>
      <c r="I31" s="520"/>
    </row>
    <row r="32" spans="1:10" ht="18">
      <c r="A32" s="522" t="s">
        <v>325</v>
      </c>
      <c r="B32" s="519"/>
      <c r="C32" s="519"/>
      <c r="D32" s="523"/>
      <c r="E32" s="519"/>
      <c r="F32" s="519"/>
      <c r="G32" s="524" t="s">
        <v>326</v>
      </c>
      <c r="H32" s="525"/>
      <c r="I32" s="526"/>
      <c r="J32" s="1203"/>
    </row>
    <row r="33" spans="1:9">
      <c r="A33" s="518"/>
      <c r="B33" s="519"/>
      <c r="C33" s="519"/>
      <c r="D33" s="519"/>
      <c r="E33" s="519"/>
      <c r="F33" s="519"/>
      <c r="G33" s="518"/>
      <c r="H33" s="519"/>
      <c r="I33" s="520"/>
    </row>
    <row r="34" spans="1:9">
      <c r="A34" s="518" t="s">
        <v>327</v>
      </c>
      <c r="B34" s="519"/>
      <c r="C34" s="519"/>
      <c r="D34" s="519"/>
      <c r="E34" s="535"/>
      <c r="F34" s="519"/>
      <c r="G34" s="518" t="s">
        <v>329</v>
      </c>
      <c r="H34" s="519"/>
      <c r="I34" s="520"/>
    </row>
    <row r="35" spans="1:9">
      <c r="A35" s="518" t="s">
        <v>328</v>
      </c>
      <c r="B35" s="519"/>
      <c r="C35" s="519"/>
      <c r="D35" s="519"/>
      <c r="E35" s="519"/>
      <c r="F35" s="519"/>
      <c r="G35" s="541" t="s">
        <v>337</v>
      </c>
      <c r="H35" s="519"/>
      <c r="I35" s="520"/>
    </row>
    <row r="36" spans="1:9">
      <c r="A36" s="518" t="s">
        <v>330</v>
      </c>
      <c r="B36" s="519"/>
      <c r="C36" s="519"/>
      <c r="D36" s="519"/>
      <c r="E36" s="519"/>
      <c r="F36" s="519"/>
      <c r="G36" s="518" t="s">
        <v>331</v>
      </c>
      <c r="H36" s="519"/>
      <c r="I36" s="520"/>
    </row>
    <row r="37" spans="1:9">
      <c r="A37" s="518"/>
      <c r="B37" s="519"/>
      <c r="C37" s="519"/>
      <c r="D37" s="519"/>
      <c r="E37" s="519"/>
      <c r="F37" s="519"/>
      <c r="G37" s="518" t="s">
        <v>332</v>
      </c>
      <c r="H37" s="519"/>
      <c r="I37" s="520"/>
    </row>
    <row r="38" spans="1:9">
      <c r="A38" s="518"/>
      <c r="B38" s="519"/>
      <c r="C38" s="519"/>
      <c r="D38" s="519"/>
      <c r="E38" s="519"/>
      <c r="F38" s="519"/>
      <c r="G38" s="541" t="s">
        <v>338</v>
      </c>
      <c r="H38" s="519"/>
      <c r="I38" s="520"/>
    </row>
    <row r="39" spans="1:9">
      <c r="A39" s="518"/>
      <c r="B39" s="519"/>
      <c r="C39" s="519"/>
      <c r="D39" s="519"/>
      <c r="E39" s="519"/>
      <c r="F39" s="519"/>
      <c r="G39" s="542" t="s">
        <v>339</v>
      </c>
      <c r="H39" s="528"/>
      <c r="I39" s="529"/>
    </row>
    <row r="40" spans="1:9">
      <c r="A40" s="518"/>
      <c r="B40" s="519"/>
      <c r="C40" s="519"/>
      <c r="D40" s="519"/>
      <c r="E40" s="519"/>
      <c r="F40" s="519"/>
      <c r="G40" s="519"/>
      <c r="H40" s="519"/>
      <c r="I40" s="520"/>
    </row>
    <row r="41" spans="1:9">
      <c r="A41" s="518"/>
      <c r="B41" s="519"/>
      <c r="C41" s="519"/>
      <c r="D41" s="519"/>
      <c r="E41" s="519"/>
      <c r="F41" s="519"/>
      <c r="G41" s="530"/>
      <c r="H41" s="530"/>
      <c r="I41" s="531"/>
    </row>
    <row r="42" spans="1:9">
      <c r="A42" s="1536" t="s">
        <v>333</v>
      </c>
      <c r="B42" s="1420"/>
      <c r="C42" s="1420"/>
      <c r="D42" s="519"/>
      <c r="E42" s="540"/>
      <c r="F42" s="519"/>
      <c r="G42" s="519"/>
      <c r="H42" s="519"/>
      <c r="I42" s="520"/>
    </row>
    <row r="43" spans="1:9">
      <c r="A43" s="518" t="s">
        <v>334</v>
      </c>
      <c r="B43" s="519"/>
      <c r="C43" s="519"/>
      <c r="D43" s="519"/>
      <c r="E43" s="519"/>
      <c r="F43" s="519"/>
      <c r="G43" s="519"/>
      <c r="H43" s="519"/>
      <c r="I43" s="520"/>
    </row>
    <row r="44" spans="1:9">
      <c r="A44" s="518" t="s">
        <v>335</v>
      </c>
      <c r="B44" s="519"/>
      <c r="C44" s="519"/>
      <c r="D44" s="519"/>
      <c r="E44" s="519"/>
      <c r="F44" s="519"/>
      <c r="G44" s="519"/>
      <c r="H44" s="519"/>
      <c r="I44" s="520"/>
    </row>
    <row r="45" spans="1:9">
      <c r="A45" s="518" t="s">
        <v>336</v>
      </c>
      <c r="B45" s="519"/>
      <c r="C45" s="519"/>
      <c r="D45" s="519"/>
      <c r="E45" s="519"/>
      <c r="F45" s="519"/>
      <c r="G45" s="519"/>
      <c r="H45" s="519"/>
      <c r="I45" s="520"/>
    </row>
    <row r="46" spans="1:9">
      <c r="A46" s="518"/>
      <c r="B46" s="519"/>
      <c r="C46" s="519"/>
      <c r="D46" s="536"/>
      <c r="E46" s="536"/>
      <c r="F46" s="536"/>
      <c r="G46" s="536"/>
      <c r="H46" s="519"/>
      <c r="I46" s="520"/>
    </row>
    <row r="47" spans="1:9" ht="15">
      <c r="A47" s="533"/>
      <c r="B47" s="519"/>
      <c r="C47" s="519"/>
      <c r="D47" s="536"/>
      <c r="E47" s="536"/>
      <c r="F47" s="536"/>
      <c r="G47" s="536"/>
      <c r="H47" s="519"/>
      <c r="I47" s="520"/>
    </row>
    <row r="48" spans="1:9" ht="23.25" hidden="1" customHeight="1">
      <c r="A48" s="518"/>
      <c r="B48" s="519"/>
      <c r="C48" s="519"/>
      <c r="D48" s="536"/>
      <c r="E48" s="536"/>
      <c r="F48" s="536"/>
      <c r="G48" s="536"/>
      <c r="H48" s="519"/>
      <c r="I48" s="534"/>
    </row>
    <row r="49" spans="1:9" ht="15" customHeight="1">
      <c r="A49" s="522"/>
      <c r="B49" s="530"/>
      <c r="C49" s="530"/>
      <c r="D49" s="537"/>
      <c r="E49" s="538"/>
      <c r="F49" s="536"/>
      <c r="G49" s="539"/>
      <c r="H49" s="519"/>
      <c r="I49" s="520"/>
    </row>
    <row r="50" spans="1:9" ht="15" customHeight="1">
      <c r="A50" s="518"/>
      <c r="B50" s="519"/>
      <c r="C50" s="519"/>
      <c r="D50" s="536"/>
      <c r="E50" s="536"/>
      <c r="F50" s="536"/>
      <c r="G50" s="536"/>
      <c r="H50" s="519"/>
      <c r="I50" s="520"/>
    </row>
    <row r="51" spans="1:9" ht="15" customHeight="1">
      <c r="A51" s="518"/>
      <c r="B51" s="519"/>
      <c r="C51" s="519"/>
      <c r="D51" s="519"/>
      <c r="E51" s="519"/>
      <c r="F51" s="519"/>
      <c r="G51" s="519"/>
      <c r="H51" s="519"/>
      <c r="I51" s="520"/>
    </row>
    <row r="52" spans="1:9">
      <c r="A52" s="527"/>
      <c r="B52" s="528"/>
      <c r="C52" s="528"/>
      <c r="D52" s="528"/>
      <c r="E52" s="528"/>
      <c r="F52" s="528"/>
      <c r="G52" s="528"/>
      <c r="H52" s="528"/>
      <c r="I52" s="529"/>
    </row>
  </sheetData>
  <sheetProtection algorithmName="SHA-512" hashValue="YluPCKkJmrIShJiMja3U8TSolHH5ccRQZwhxM997IapIGqdU5WFFoc/qaZ7LAeihtE5EsxY2z4CiagrhgyiI+w==" saltValue="u9g1ebaNfsrMd91juG8bjg==" spinCount="100000" sheet="1" objects="1" scenarios="1"/>
  <mergeCells count="2">
    <mergeCell ref="A1:I4"/>
    <mergeCell ref="A42:C42"/>
  </mergeCells>
  <hyperlinks>
    <hyperlink ref="J21" r:id="rId1"/>
    <hyperlink ref="G21" r:id="rId2"/>
  </hyperlinks>
  <pageMargins left="0.70866141732283472" right="0.70866141732283472" top="0.78740157480314965" bottom="0.78740157480314965" header="0.31496062992125984" footer="0.31496062992125984"/>
  <pageSetup paperSize="9" orientation="portrait"/>
  <headerFooter>
    <oddHeader>&amp;C&amp;9&amp;A</oddHeader>
    <oddFooter>&amp;L&amp;8Version: 15.01.2020&amp;C&amp;8Verhandlungsunterlagen SGB XI&amp;R&amp;8PSK-Beschluss Nr. 3/2019 vom 19.09.2019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GridLines="0" workbookViewId="0">
      <selection activeCell="C14" sqref="C14"/>
    </sheetView>
  </sheetViews>
  <sheetFormatPr baseColWidth="10" defaultRowHeight="14.25"/>
  <cols>
    <col min="1" max="1" width="10.625" customWidth="1"/>
    <col min="2" max="2" width="28.125" customWidth="1"/>
    <col min="3" max="3" width="30" customWidth="1"/>
    <col min="4" max="4" width="35.75" customWidth="1"/>
    <col min="5" max="5" width="29.75" customWidth="1"/>
  </cols>
  <sheetData>
    <row r="1" spans="1:5">
      <c r="A1" s="1022"/>
      <c r="B1" s="1022"/>
      <c r="C1" s="1022"/>
      <c r="D1" s="1022"/>
      <c r="E1" s="1022"/>
    </row>
    <row r="2" spans="1:5" ht="23.25">
      <c r="A2" s="1022"/>
      <c r="B2" s="1537" t="s">
        <v>558</v>
      </c>
      <c r="C2" s="1537"/>
      <c r="D2" s="1537"/>
      <c r="E2" s="1022"/>
    </row>
    <row r="3" spans="1:5">
      <c r="A3" s="1022"/>
      <c r="B3" s="1022"/>
      <c r="C3" s="1022"/>
      <c r="D3" s="1022"/>
      <c r="E3" s="1022"/>
    </row>
    <row r="5" spans="1:5" ht="25.5">
      <c r="A5" s="1023" t="s">
        <v>559</v>
      </c>
      <c r="B5" s="1023" t="s">
        <v>560</v>
      </c>
      <c r="C5" s="1023" t="s">
        <v>561</v>
      </c>
      <c r="D5" s="1023" t="s">
        <v>562</v>
      </c>
      <c r="E5" s="1023" t="s">
        <v>563</v>
      </c>
    </row>
    <row r="6" spans="1:5" s="1323" customFormat="1" ht="12.75">
      <c r="A6" s="1327">
        <v>43745</v>
      </c>
      <c r="B6" s="1328" t="s">
        <v>819</v>
      </c>
      <c r="C6" s="1328" t="s">
        <v>820</v>
      </c>
      <c r="D6" s="1328" t="s">
        <v>821</v>
      </c>
      <c r="E6" s="1328"/>
    </row>
    <row r="7" spans="1:5" ht="25.5">
      <c r="A7" s="1329"/>
      <c r="B7" s="1330" t="s">
        <v>825</v>
      </c>
      <c r="C7" s="1330" t="s">
        <v>826</v>
      </c>
      <c r="D7" s="1330" t="s">
        <v>827</v>
      </c>
      <c r="E7" s="1330"/>
    </row>
    <row r="8" spans="1:5" s="1332" customFormat="1" ht="12.75">
      <c r="A8" s="1333">
        <v>43833</v>
      </c>
      <c r="B8" s="1331" t="s">
        <v>828</v>
      </c>
      <c r="C8" s="1331"/>
      <c r="D8" s="1331" t="s">
        <v>829</v>
      </c>
      <c r="E8" s="1331"/>
    </row>
    <row r="9" spans="1:5">
      <c r="A9" s="1542">
        <v>43845</v>
      </c>
      <c r="B9" s="1543" t="s">
        <v>774</v>
      </c>
      <c r="C9" s="1543" t="s">
        <v>832</v>
      </c>
      <c r="D9" s="1543" t="s">
        <v>833</v>
      </c>
      <c r="E9" s="1326"/>
    </row>
    <row r="10" spans="1:5">
      <c r="A10" s="1326"/>
      <c r="B10" s="1326"/>
      <c r="C10" s="1326"/>
      <c r="D10" s="1326"/>
      <c r="E10" s="1326"/>
    </row>
    <row r="11" spans="1:5">
      <c r="A11" s="1326"/>
      <c r="B11" s="1326"/>
      <c r="C11" s="1326"/>
      <c r="D11" s="1326"/>
      <c r="E11" s="1326"/>
    </row>
    <row r="12" spans="1:5">
      <c r="A12" s="1326"/>
      <c r="B12" s="1326"/>
      <c r="C12" s="1326"/>
      <c r="D12" s="1326"/>
      <c r="E12" s="1326"/>
    </row>
    <row r="13" spans="1:5">
      <c r="A13" s="1326"/>
      <c r="B13" s="1326"/>
      <c r="C13" s="1326"/>
      <c r="D13" s="1326"/>
      <c r="E13" s="1326"/>
    </row>
    <row r="14" spans="1:5">
      <c r="A14" s="1326"/>
      <c r="B14" s="1326"/>
      <c r="C14" s="1326"/>
      <c r="D14" s="1326"/>
      <c r="E14" s="1326"/>
    </row>
    <row r="15" spans="1:5">
      <c r="A15" s="1326"/>
      <c r="B15" s="1326"/>
      <c r="C15" s="1326"/>
      <c r="D15" s="1326"/>
      <c r="E15" s="1326"/>
    </row>
    <row r="16" spans="1:5">
      <c r="A16" s="1326"/>
      <c r="B16" s="1326"/>
      <c r="C16" s="1326"/>
      <c r="D16" s="1326"/>
      <c r="E16" s="1326"/>
    </row>
    <row r="17" spans="1:5">
      <c r="A17" s="1326"/>
      <c r="B17" s="1326"/>
      <c r="C17" s="1326"/>
      <c r="D17" s="1326"/>
      <c r="E17" s="1326"/>
    </row>
    <row r="18" spans="1:5">
      <c r="A18" s="1326"/>
      <c r="B18" s="1326"/>
      <c r="C18" s="1326"/>
      <c r="D18" s="1326"/>
      <c r="E18" s="1326"/>
    </row>
  </sheetData>
  <sheetProtection algorithmName="SHA-512" hashValue="z2px7JOhEXuubRpYKqkl8odxl3772CdvQ+b5AjlUozB/LKWVLKnTl06AkKgMpmJUv4kU4+GW2+JX9LC6OdsEgQ==" saltValue="TSIm+k7OFMOWtdfDdTSqGA==" spinCount="100000" sheet="1" objects="1" scenarios="1"/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89" orientation="landscape"/>
  <headerFooter>
    <oddFooter>&amp;L&amp;8Version: 15.01.2020&amp;C&amp;8Verhandlungsunterlagen SGB XI&amp;R&amp;8PSK-Beschluss Nr. 3/2019 vom 19.09.2019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O39"/>
  <sheetViews>
    <sheetView workbookViewId="0">
      <selection activeCell="B19" sqref="B19"/>
    </sheetView>
  </sheetViews>
  <sheetFormatPr baseColWidth="10" defaultRowHeight="14.25"/>
  <cols>
    <col min="1" max="1" width="22" style="4" customWidth="1"/>
    <col min="2" max="4" width="11" style="4"/>
    <col min="5" max="5" width="12.875" style="4" customWidth="1"/>
    <col min="6" max="9" width="11" style="4"/>
    <col min="10" max="10" width="11" style="389" hidden="1" customWidth="1"/>
    <col min="11" max="11" width="14" style="389" hidden="1" customWidth="1"/>
    <col min="12" max="15" width="11" style="389" hidden="1" customWidth="1"/>
    <col min="16" max="16384" width="11" style="4"/>
  </cols>
  <sheetData>
    <row r="1" spans="1:15" s="1251" customFormat="1" ht="15">
      <c r="A1" s="1250" t="s">
        <v>202</v>
      </c>
      <c r="B1" s="1251" t="s">
        <v>203</v>
      </c>
      <c r="C1" s="1251" t="s">
        <v>151</v>
      </c>
      <c r="D1" s="1251" t="s">
        <v>204</v>
      </c>
      <c r="E1" s="1252" t="s">
        <v>205</v>
      </c>
      <c r="F1" s="1251" t="s">
        <v>206</v>
      </c>
      <c r="G1" s="1251" t="s">
        <v>541</v>
      </c>
      <c r="J1" s="1253">
        <v>43599</v>
      </c>
      <c r="K1" s="1254">
        <v>43605</v>
      </c>
      <c r="L1" s="1255">
        <v>43691</v>
      </c>
      <c r="M1" s="1256"/>
      <c r="N1" s="1256"/>
      <c r="O1" s="1256"/>
    </row>
    <row r="2" spans="1:15">
      <c r="A2" s="1257" t="s">
        <v>207</v>
      </c>
      <c r="B2" s="1258" t="s">
        <v>208</v>
      </c>
      <c r="C2" s="1257">
        <v>30.42</v>
      </c>
      <c r="D2" s="1257">
        <v>365</v>
      </c>
      <c r="E2" s="1259">
        <v>1</v>
      </c>
      <c r="F2" s="1257" t="s">
        <v>209</v>
      </c>
      <c r="G2" s="1257" t="s">
        <v>540</v>
      </c>
      <c r="J2" s="864" t="s">
        <v>467</v>
      </c>
      <c r="L2" s="864" t="s">
        <v>466</v>
      </c>
    </row>
    <row r="3" spans="1:15">
      <c r="A3" s="1257" t="s">
        <v>3</v>
      </c>
      <c r="B3" s="1257"/>
      <c r="C3" s="1257">
        <v>26</v>
      </c>
      <c r="D3" s="1257">
        <v>312</v>
      </c>
      <c r="E3" s="1259">
        <v>0.99</v>
      </c>
      <c r="F3" s="1257" t="s">
        <v>211</v>
      </c>
      <c r="G3" s="1257"/>
    </row>
    <row r="4" spans="1:15">
      <c r="A4" s="1257" t="s">
        <v>39</v>
      </c>
      <c r="C4" s="1257">
        <v>20.83</v>
      </c>
      <c r="D4" s="1257">
        <v>250</v>
      </c>
      <c r="E4" s="1259">
        <v>0.98</v>
      </c>
      <c r="F4" s="1257"/>
      <c r="G4" s="1257"/>
    </row>
    <row r="5" spans="1:15">
      <c r="A5" s="1257" t="s">
        <v>210</v>
      </c>
      <c r="C5" s="1257"/>
      <c r="D5" s="1257"/>
      <c r="E5" s="1259">
        <v>0.97</v>
      </c>
    </row>
    <row r="6" spans="1:15">
      <c r="A6" s="1257"/>
      <c r="E6" s="1259">
        <v>0.96</v>
      </c>
    </row>
    <row r="7" spans="1:15">
      <c r="A7" s="1257"/>
      <c r="E7" s="1259">
        <v>0.95</v>
      </c>
    </row>
    <row r="8" spans="1:15">
      <c r="A8" s="1257"/>
      <c r="E8" s="1259">
        <v>0.94</v>
      </c>
    </row>
    <row r="9" spans="1:15">
      <c r="E9" s="1259">
        <v>0.93</v>
      </c>
    </row>
    <row r="10" spans="1:15">
      <c r="E10" s="1259">
        <v>0.92</v>
      </c>
    </row>
    <row r="11" spans="1:15">
      <c r="E11" s="1259">
        <v>0.91</v>
      </c>
    </row>
    <row r="12" spans="1:15">
      <c r="E12" s="1259">
        <v>0.9</v>
      </c>
    </row>
    <row r="13" spans="1:15">
      <c r="E13" s="1259">
        <v>0.89</v>
      </c>
    </row>
    <row r="14" spans="1:15">
      <c r="E14" s="1259">
        <v>0.88</v>
      </c>
    </row>
    <row r="15" spans="1:15">
      <c r="A15" s="225"/>
      <c r="E15" s="1259">
        <v>0.87</v>
      </c>
    </row>
    <row r="16" spans="1:15">
      <c r="A16" s="225"/>
      <c r="E16" s="1259">
        <v>0.86</v>
      </c>
    </row>
    <row r="17" spans="1:14">
      <c r="E17" s="1259">
        <v>0.85</v>
      </c>
    </row>
    <row r="18" spans="1:14">
      <c r="A18" s="1260"/>
      <c r="E18" s="1257"/>
    </row>
    <row r="19" spans="1:14">
      <c r="A19" s="1260"/>
    </row>
    <row r="21" spans="1:14" hidden="1">
      <c r="A21" s="1261" t="s">
        <v>517</v>
      </c>
      <c r="B21" s="1262"/>
      <c r="C21" s="1262"/>
      <c r="D21" s="1262"/>
      <c r="E21" s="1262"/>
      <c r="F21" s="1263"/>
      <c r="J21" s="1264" t="s">
        <v>525</v>
      </c>
    </row>
    <row r="22" spans="1:14" ht="15" hidden="1">
      <c r="A22" s="1265" t="s">
        <v>518</v>
      </c>
      <c r="B22" s="1266" t="str">
        <f>IF(Belegung!D16="","",Belegung!D16)</f>
        <v/>
      </c>
      <c r="C22" s="9"/>
      <c r="D22" s="9" t="s">
        <v>565</v>
      </c>
      <c r="E22" s="1267"/>
      <c r="F22" s="1268" t="str">
        <f>IFERROR(DAY(B22),"")</f>
        <v/>
      </c>
      <c r="J22" s="867" t="s">
        <v>567</v>
      </c>
    </row>
    <row r="23" spans="1:14" ht="15" hidden="1">
      <c r="A23" s="1269" t="s">
        <v>566</v>
      </c>
      <c r="B23" s="1270"/>
      <c r="C23" s="1266" t="str">
        <f>IFERROR(IF(F22=1,B22,B22-F22+1),"")</f>
        <v/>
      </c>
      <c r="D23" s="9"/>
      <c r="E23" s="9"/>
      <c r="F23" s="5"/>
      <c r="J23" s="867" t="s">
        <v>568</v>
      </c>
      <c r="K23" s="867"/>
      <c r="L23" s="867"/>
      <c r="M23" s="867"/>
      <c r="N23" s="867"/>
    </row>
    <row r="24" spans="1:14" hidden="1">
      <c r="A24" s="1271" t="s">
        <v>520</v>
      </c>
      <c r="B24" s="1272">
        <v>1</v>
      </c>
      <c r="C24" s="1273" t="str">
        <f t="shared" ref="C24:C29" si="0">IFERROR(DATE(YEAR($C$23),MONTH($C$23)-B24,DAY($C$23)),"")</f>
        <v/>
      </c>
      <c r="D24" s="1274" t="str">
        <f>TEXT(C24,"MMMM JJJJ")</f>
        <v/>
      </c>
      <c r="E24" s="1275"/>
      <c r="F24" s="5"/>
      <c r="J24" s="867" t="s">
        <v>569</v>
      </c>
      <c r="K24" s="867" t="s">
        <v>570</v>
      </c>
      <c r="L24" s="867"/>
      <c r="M24" s="867"/>
      <c r="N24" s="867"/>
    </row>
    <row r="25" spans="1:14" hidden="1">
      <c r="A25" s="1276" t="s">
        <v>519</v>
      </c>
      <c r="B25" s="1277">
        <v>2</v>
      </c>
      <c r="C25" s="1273" t="str">
        <f t="shared" si="0"/>
        <v/>
      </c>
      <c r="D25" s="1278" t="str">
        <f t="shared" ref="D25:D29" si="1">TEXT(C25,"MMMM JJJJ")</f>
        <v/>
      </c>
      <c r="E25" s="1279"/>
      <c r="F25" s="5"/>
      <c r="J25" s="867"/>
      <c r="K25" s="867" t="s">
        <v>571</v>
      </c>
      <c r="L25" s="867"/>
      <c r="M25" s="867"/>
      <c r="N25" s="867"/>
    </row>
    <row r="26" spans="1:14" hidden="1">
      <c r="A26" s="1276" t="s">
        <v>521</v>
      </c>
      <c r="B26" s="1277">
        <v>3</v>
      </c>
      <c r="C26" s="1273" t="str">
        <f t="shared" si="0"/>
        <v/>
      </c>
      <c r="D26" s="1278" t="str">
        <f t="shared" si="1"/>
        <v/>
      </c>
      <c r="E26" s="1279"/>
      <c r="F26" s="5"/>
      <c r="J26" s="867"/>
      <c r="K26" s="867" t="s">
        <v>575</v>
      </c>
      <c r="L26" s="867"/>
      <c r="M26" s="867"/>
      <c r="N26" s="867"/>
    </row>
    <row r="27" spans="1:14" hidden="1">
      <c r="A27" s="1276" t="s">
        <v>522</v>
      </c>
      <c r="B27" s="1277">
        <v>4</v>
      </c>
      <c r="C27" s="1273" t="str">
        <f t="shared" si="0"/>
        <v/>
      </c>
      <c r="D27" s="1278" t="str">
        <f t="shared" si="1"/>
        <v/>
      </c>
      <c r="E27" s="1279"/>
      <c r="F27" s="5"/>
      <c r="J27" s="867"/>
      <c r="K27" s="867" t="s">
        <v>573</v>
      </c>
      <c r="L27" s="867"/>
      <c r="M27" s="867"/>
      <c r="N27" s="867"/>
    </row>
    <row r="28" spans="1:14" hidden="1">
      <c r="A28" s="1276" t="s">
        <v>523</v>
      </c>
      <c r="B28" s="1277">
        <v>5</v>
      </c>
      <c r="C28" s="1273" t="str">
        <f t="shared" si="0"/>
        <v/>
      </c>
      <c r="D28" s="1278" t="str">
        <f t="shared" si="1"/>
        <v/>
      </c>
      <c r="E28" s="1279"/>
      <c r="F28" s="5"/>
      <c r="J28" s="867"/>
      <c r="K28" s="867" t="s">
        <v>572</v>
      </c>
      <c r="L28" s="867"/>
      <c r="M28" s="867"/>
      <c r="N28" s="867"/>
    </row>
    <row r="29" spans="1:14" hidden="1">
      <c r="A29" s="1280" t="s">
        <v>524</v>
      </c>
      <c r="B29" s="1281">
        <v>6</v>
      </c>
      <c r="C29" s="1282" t="str">
        <f t="shared" si="0"/>
        <v/>
      </c>
      <c r="D29" s="1283" t="str">
        <f t="shared" si="1"/>
        <v/>
      </c>
      <c r="E29" s="1284"/>
      <c r="F29" s="73"/>
      <c r="J29" s="867"/>
      <c r="K29" s="867" t="s">
        <v>574</v>
      </c>
      <c r="L29" s="867"/>
      <c r="M29" s="867"/>
      <c r="N29" s="867"/>
    </row>
    <row r="30" spans="1:14" hidden="1">
      <c r="J30" s="867"/>
      <c r="K30" s="867" t="s">
        <v>576</v>
      </c>
      <c r="L30" s="867"/>
      <c r="M30" s="867"/>
      <c r="N30" s="867"/>
    </row>
    <row r="31" spans="1:14" ht="57" hidden="1">
      <c r="A31" s="1285"/>
      <c r="B31" s="1285" t="s">
        <v>774</v>
      </c>
      <c r="C31" s="1285" t="s">
        <v>775</v>
      </c>
      <c r="D31" s="1285" t="s">
        <v>777</v>
      </c>
      <c r="E31" s="1286" t="s">
        <v>776</v>
      </c>
      <c r="F31" s="1285" t="s">
        <v>781</v>
      </c>
      <c r="J31" s="1287" t="s">
        <v>765</v>
      </c>
    </row>
    <row r="32" spans="1:14" hidden="1">
      <c r="A32" s="1288" t="s">
        <v>119</v>
      </c>
      <c r="B32" s="1289">
        <f>Belegung!E26</f>
        <v>0</v>
      </c>
      <c r="C32" s="1290">
        <f>Forderung!J9</f>
        <v>0</v>
      </c>
      <c r="D32" s="1291" t="e">
        <f>B32/C32</f>
        <v>#DIV/0!</v>
      </c>
      <c r="E32" s="1292" t="e">
        <f>D32/$D$37</f>
        <v>#DIV/0!</v>
      </c>
      <c r="F32" s="1291" t="e">
        <f>E32*$F$39</f>
        <v>#DIV/0!</v>
      </c>
      <c r="J32" s="1287" t="s">
        <v>764</v>
      </c>
    </row>
    <row r="33" spans="1:10" hidden="1">
      <c r="A33" s="1288" t="s">
        <v>121</v>
      </c>
      <c r="B33" s="1289">
        <f>Belegung!E27</f>
        <v>0</v>
      </c>
      <c r="C33" s="1290">
        <f>Forderung!J11</f>
        <v>0</v>
      </c>
      <c r="D33" s="1291" t="e">
        <f t="shared" ref="D33:D36" si="2">B33/C33</f>
        <v>#DIV/0!</v>
      </c>
      <c r="E33" s="1292" t="e">
        <f t="shared" ref="E33:E36" si="3">D33/$D$37</f>
        <v>#DIV/0!</v>
      </c>
      <c r="F33" s="1291" t="e">
        <f t="shared" ref="F33:F36" si="4">E33*$F$39</f>
        <v>#DIV/0!</v>
      </c>
      <c r="J33" s="1287" t="s">
        <v>766</v>
      </c>
    </row>
    <row r="34" spans="1:10" hidden="1">
      <c r="A34" s="1288" t="s">
        <v>122</v>
      </c>
      <c r="B34" s="1289">
        <f>Belegung!E28</f>
        <v>0</v>
      </c>
      <c r="C34" s="1290">
        <f>Forderung!J13</f>
        <v>0</v>
      </c>
      <c r="D34" s="1291" t="e">
        <f t="shared" si="2"/>
        <v>#DIV/0!</v>
      </c>
      <c r="E34" s="1292" t="e">
        <f t="shared" si="3"/>
        <v>#DIV/0!</v>
      </c>
      <c r="F34" s="1291" t="e">
        <f t="shared" si="4"/>
        <v>#DIV/0!</v>
      </c>
    </row>
    <row r="35" spans="1:10" hidden="1">
      <c r="A35" s="1288" t="s">
        <v>123</v>
      </c>
      <c r="B35" s="1289">
        <f>Belegung!E29</f>
        <v>0</v>
      </c>
      <c r="C35" s="1290">
        <f>Forderung!J15</f>
        <v>0</v>
      </c>
      <c r="D35" s="1291" t="e">
        <f t="shared" si="2"/>
        <v>#DIV/0!</v>
      </c>
      <c r="E35" s="1292" t="e">
        <f t="shared" si="3"/>
        <v>#DIV/0!</v>
      </c>
      <c r="F35" s="1291" t="e">
        <f t="shared" si="4"/>
        <v>#DIV/0!</v>
      </c>
    </row>
    <row r="36" spans="1:10" ht="15" hidden="1" thickBot="1">
      <c r="A36" s="1293" t="s">
        <v>124</v>
      </c>
      <c r="B36" s="1294">
        <f>Belegung!E30</f>
        <v>0</v>
      </c>
      <c r="C36" s="1295">
        <f>Forderung!J17</f>
        <v>0</v>
      </c>
      <c r="D36" s="1296" t="e">
        <f t="shared" si="2"/>
        <v>#DIV/0!</v>
      </c>
      <c r="E36" s="1297" t="e">
        <f t="shared" si="3"/>
        <v>#DIV/0!</v>
      </c>
      <c r="F36" s="1296" t="e">
        <f t="shared" si="4"/>
        <v>#DIV/0!</v>
      </c>
    </row>
    <row r="37" spans="1:10" hidden="1">
      <c r="A37" s="1298" t="s">
        <v>779</v>
      </c>
      <c r="B37" s="1299">
        <f>SUM(B32:B36)</f>
        <v>0</v>
      </c>
      <c r="C37" s="1300"/>
      <c r="D37" s="1300" t="e">
        <f>SUM(D32:D36)</f>
        <v>#DIV/0!</v>
      </c>
      <c r="E37" s="1301">
        <v>1</v>
      </c>
      <c r="F37" s="1302" t="e">
        <f>SUM(F32:F36)</f>
        <v>#DIV/0!</v>
      </c>
    </row>
    <row r="38" spans="1:10" hidden="1">
      <c r="A38" s="1303" t="s">
        <v>778</v>
      </c>
      <c r="B38" s="1304"/>
      <c r="C38" s="1304"/>
      <c r="D38" s="1305">
        <f>Personalaufwendungen!H12</f>
        <v>0</v>
      </c>
      <c r="E38" s="1304"/>
      <c r="F38" s="1306"/>
    </row>
    <row r="39" spans="1:10" ht="29.25" hidden="1" thickBot="1">
      <c r="A39" s="1307" t="s">
        <v>780</v>
      </c>
      <c r="B39" s="1308"/>
      <c r="C39" s="1308"/>
      <c r="D39" s="1309" t="e">
        <f>SUM(D37:D38)</f>
        <v>#DIV/0!</v>
      </c>
      <c r="E39" s="1308"/>
      <c r="F39" s="1310" t="e">
        <f>Gesamtkalkulation!D17</f>
        <v>#VALUE!</v>
      </c>
    </row>
  </sheetData>
  <sheetProtection algorithmName="SHA-512" hashValue="yDBfPtjCZM8TH9MqTMTe/LIWdqULaEPv59LW9BHxjOEtMmUIRQfifQWFEUAppyu7erAiA3f7Nz5Pg4ZV1neRHw==" saltValue="l5vbPKgz9u6FVWZRWfb8cQ==" spinCount="100000" sheet="1" objects="1" scenarios="1" selectLockedCells="1" selectUnlockedCells="1"/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15</vt:i4>
      </vt:variant>
    </vt:vector>
  </HeadingPairs>
  <TitlesOfParts>
    <vt:vector size="28" baseType="lpstr">
      <vt:lpstr>Allgemeine Angaben</vt:lpstr>
      <vt:lpstr>Belegung</vt:lpstr>
      <vt:lpstr>Personalkostenaufstellung</vt:lpstr>
      <vt:lpstr>Personalaufwendungen</vt:lpstr>
      <vt:lpstr>Sachaufwendungen</vt:lpstr>
      <vt:lpstr>Forderung</vt:lpstr>
      <vt:lpstr>Gesamtkalkulation</vt:lpstr>
      <vt:lpstr>Bewohnervertretung</vt:lpstr>
      <vt:lpstr>Allgemeine Hinweise</vt:lpstr>
      <vt:lpstr>Hinweise Sachaufwendungen</vt:lpstr>
      <vt:lpstr>Adressverzeichnis</vt:lpstr>
      <vt:lpstr>Versionsinfo</vt:lpstr>
      <vt:lpstr>KAT</vt:lpstr>
      <vt:lpstr>divisor</vt:lpstr>
      <vt:lpstr>Adressverzeichnis!Druckbereich</vt:lpstr>
      <vt:lpstr>'Allgemeine Angaben'!Druckbereich</vt:lpstr>
      <vt:lpstr>Belegung!Druckbereich</vt:lpstr>
      <vt:lpstr>Bewohnervertretung!Druckbereich</vt:lpstr>
      <vt:lpstr>Forderung!Druckbereich</vt:lpstr>
      <vt:lpstr>Gesamtkalkulation!Druckbereich</vt:lpstr>
      <vt:lpstr>'Hinweise Sachaufwendungen'!Druckbereich</vt:lpstr>
      <vt:lpstr>Personalaufwendungen!Druckbereich</vt:lpstr>
      <vt:lpstr>Personalkostenaufstellung!Druckbereich</vt:lpstr>
      <vt:lpstr>Sachaufwendungen!Druckbereich</vt:lpstr>
      <vt:lpstr>'Hinweise Sachaufwendungen'!Drucktitel</vt:lpstr>
      <vt:lpstr>eeadivisor</vt:lpstr>
      <vt:lpstr>pnk</vt:lpstr>
      <vt:lpstr>risiko</vt:lpstr>
    </vt:vector>
  </TitlesOfParts>
  <Company>AOK PLUS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Dietrich, Astrid</dc:creator>
  <cp:lastModifiedBy>Dietrich, Astrid</cp:lastModifiedBy>
  <cp:lastPrinted>2020-01-03T12:29:48Z</cp:lastPrinted>
  <dcterms:created xsi:type="dcterms:W3CDTF">2012-08-21T12:23:19Z</dcterms:created>
  <dcterms:modified xsi:type="dcterms:W3CDTF">2020-01-15T09:12:22Z</dcterms:modified>
</cp:coreProperties>
</file>